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artin\Documents\SAE hold\2022-2023\Treasurer report\"/>
    </mc:Choice>
  </mc:AlternateContent>
  <xr:revisionPtr revIDLastSave="0" documentId="8_{136A6BF0-0A87-415E-AE4B-1FCB00EAD7DB}" xr6:coauthVersionLast="47" xr6:coauthVersionMax="47" xr10:uidLastSave="{00000000-0000-0000-0000-000000000000}"/>
  <bookViews>
    <workbookView xWindow="-118" yWindow="-118" windowWidth="25370" windowHeight="15330" tabRatio="813" activeTab="1" xr2:uid="{00000000-000D-0000-FFFF-FFFF00000000}"/>
  </bookViews>
  <sheets>
    <sheet name="Summary and Chart" sheetId="1" r:id="rId1"/>
    <sheet name="2022 Sept" sheetId="66" r:id="rId2"/>
    <sheet name="2022 Aug" sheetId="65" r:id="rId3"/>
    <sheet name="2022 July" sheetId="64" r:id="rId4"/>
    <sheet name="2022 June " sheetId="63" r:id="rId5"/>
    <sheet name="2022  May" sheetId="62" r:id="rId6"/>
    <sheet name="2022 Apr" sheetId="61" r:id="rId7"/>
    <sheet name="2022 Mar" sheetId="60" r:id="rId8"/>
    <sheet name="2022 Feb" sheetId="58" r:id="rId9"/>
    <sheet name="2022 Jan" sheetId="57" r:id="rId10"/>
    <sheet name="2021 Dec" sheetId="56" r:id="rId11"/>
    <sheet name="2021 Nov" sheetId="55" r:id="rId12"/>
    <sheet name="2021 Oct" sheetId="54" r:id="rId13"/>
    <sheet name="2021 Sept" sheetId="53" r:id="rId14"/>
    <sheet name="2021 Aug" sheetId="52" r:id="rId15"/>
    <sheet name="2021 July" sheetId="51" r:id="rId16"/>
    <sheet name="2021 June" sheetId="50" r:id="rId17"/>
    <sheet name="2021 May" sheetId="49" r:id="rId18"/>
    <sheet name="2021 April" sheetId="48" r:id="rId19"/>
    <sheet name="2021 March" sheetId="47" r:id="rId20"/>
    <sheet name="2021 Feb" sheetId="46" r:id="rId21"/>
    <sheet name="2021 Jan" sheetId="45" r:id="rId22"/>
    <sheet name="Sheet2" sheetId="59" r:id="rId23"/>
    <sheet name="2020 Dec" sheetId="44" r:id="rId24"/>
    <sheet name="2020 Nov " sheetId="43" r:id="rId25"/>
    <sheet name="2020 Oct " sheetId="42" r:id="rId26"/>
    <sheet name="2020 Sept" sheetId="41" r:id="rId27"/>
    <sheet name="2020 Aug" sheetId="40" r:id="rId28"/>
    <sheet name="2020 July" sheetId="39" r:id="rId29"/>
    <sheet name="2020 June" sheetId="38" r:id="rId30"/>
    <sheet name="2020 May" sheetId="37" r:id="rId31"/>
    <sheet name="2020 April " sheetId="36" r:id="rId32"/>
    <sheet name="2020 March " sheetId="34" r:id="rId33"/>
    <sheet name="2020 Feb" sheetId="31" r:id="rId34"/>
    <sheet name="2020 Jan" sheetId="28" r:id="rId35"/>
    <sheet name="2019 Dec" sheetId="30" r:id="rId36"/>
    <sheet name="2019 Nov " sheetId="27" r:id="rId37"/>
    <sheet name="2019 Oct " sheetId="25" r:id="rId38"/>
    <sheet name="2019 Sept" sheetId="24" r:id="rId39"/>
    <sheet name="2019 Aug" sheetId="22" r:id="rId40"/>
    <sheet name="2019 July" sheetId="21" r:id="rId41"/>
    <sheet name="2019 June" sheetId="20" r:id="rId42"/>
    <sheet name="2019 May " sheetId="19" r:id="rId43"/>
    <sheet name="2019 April" sheetId="16" r:id="rId44"/>
    <sheet name="2019 March" sheetId="15" r:id="rId45"/>
    <sheet name="Feb 2019 " sheetId="12" r:id="rId46"/>
    <sheet name="Jan 2019" sheetId="11" r:id="rId47"/>
    <sheet name="Dec 2018" sheetId="9" r:id="rId48"/>
    <sheet name="Nov 2018" sheetId="8" r:id="rId49"/>
    <sheet name="Oct 2018 " sheetId="6" r:id="rId50"/>
    <sheet name="Sept 2018 " sheetId="5" r:id="rId51"/>
    <sheet name="August 2018 " sheetId="4" r:id="rId52"/>
    <sheet name="July 2018" sheetId="7" r:id="rId53"/>
    <sheet name="Sheet3" sheetId="23" r:id="rId54"/>
    <sheet name="June 2018" sheetId="3" r:id="rId55"/>
  </sheets>
  <externalReferences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xlnm.Print_Area" localSheetId="43">'2019 April'!$C$4:$J$53</definedName>
    <definedName name="_xlnm.Print_Area" localSheetId="39">'2019 Aug'!$C$4:$J$47</definedName>
    <definedName name="_xlnm.Print_Area" localSheetId="35">'2019 Dec'!$C$4:$J$35</definedName>
    <definedName name="_xlnm.Print_Area" localSheetId="40">'2019 July'!$C$4:$J$38</definedName>
    <definedName name="_xlnm.Print_Area" localSheetId="41">'2019 June'!$C$4:$J$38</definedName>
    <definedName name="_xlnm.Print_Area" localSheetId="44">'2019 March'!$C$4:$J$61</definedName>
    <definedName name="_xlnm.Print_Area" localSheetId="42">'2019 May '!$C$4:$J$43</definedName>
    <definedName name="_xlnm.Print_Area" localSheetId="36">'2019 Nov '!$C$4:$J$40</definedName>
    <definedName name="_xlnm.Print_Area" localSheetId="37">'2019 Oct '!$C$4:$J$37</definedName>
    <definedName name="_xlnm.Print_Area" localSheetId="38">'2019 Sept'!$C$4:$J$33</definedName>
    <definedName name="_xlnm.Print_Area" localSheetId="31">'2020 April '!$C$4:$J$49</definedName>
    <definedName name="_xlnm.Print_Area" localSheetId="27">'2020 Aug'!$C$4:$J$34</definedName>
    <definedName name="_xlnm.Print_Area" localSheetId="23">'2020 Dec'!$C$4:$J$33</definedName>
    <definedName name="_xlnm.Print_Area" localSheetId="33">'2020 Feb'!$C$4:$J$42</definedName>
    <definedName name="_xlnm.Print_Area" localSheetId="34">'2020 Jan'!$C$4:$J$38</definedName>
    <definedName name="_xlnm.Print_Area" localSheetId="28">'2020 July'!$C$4:$J$36</definedName>
    <definedName name="_xlnm.Print_Area" localSheetId="29">'2020 June'!$C$4:$J$36</definedName>
    <definedName name="_xlnm.Print_Area" localSheetId="32">'2020 March '!$C$4:$J$55</definedName>
    <definedName name="_xlnm.Print_Area" localSheetId="30">'2020 May'!$C$4:$J$39</definedName>
    <definedName name="_xlnm.Print_Area" localSheetId="24">'2020 Nov '!$C$4:$J$35</definedName>
    <definedName name="_xlnm.Print_Area" localSheetId="25">'2020 Oct '!$C$4:$J$33</definedName>
    <definedName name="_xlnm.Print_Area" localSheetId="26">'2020 Sept'!$C$4:$J$33</definedName>
    <definedName name="_xlnm.Print_Area" localSheetId="18">'2021 April'!$C$4:$J$47</definedName>
    <definedName name="_xlnm.Print_Area" localSheetId="14">'2021 Aug'!$C$4:$J$40</definedName>
    <definedName name="_xlnm.Print_Area" localSheetId="10">'2021 Dec'!$C$4:$J$41</definedName>
    <definedName name="_xlnm.Print_Area" localSheetId="20">'2021 Feb'!$C$4:$J$36</definedName>
    <definedName name="_xlnm.Print_Area" localSheetId="21">'2021 Jan'!$C$4:$J$36</definedName>
    <definedName name="_xlnm.Print_Area" localSheetId="15">'2021 July'!$C$4:$J$40</definedName>
    <definedName name="_xlnm.Print_Area" localSheetId="16">'2021 June'!$C$4:$J$44</definedName>
    <definedName name="_xlnm.Print_Area" localSheetId="19">'2021 March'!$C$4:$J$45</definedName>
    <definedName name="_xlnm.Print_Area" localSheetId="17">'2021 May'!$C$4:$J$44</definedName>
    <definedName name="_xlnm.Print_Area" localSheetId="11">'2021 Nov'!$C$4:$J$42</definedName>
    <definedName name="_xlnm.Print_Area" localSheetId="12">'2021 Oct'!$C$4:$J$40</definedName>
    <definedName name="_xlnm.Print_Area" localSheetId="13">'2021 Sept'!$C$4:$J$40</definedName>
    <definedName name="_xlnm.Print_Area" localSheetId="5">'2022  May'!$C$4:$J$37</definedName>
    <definedName name="_xlnm.Print_Area" localSheetId="6">'2022 Apr'!$C$4:$J$46</definedName>
    <definedName name="_xlnm.Print_Area" localSheetId="2">'2022 Aug'!$C$3:$J$36</definedName>
    <definedName name="_xlnm.Print_Area" localSheetId="8">'2022 Feb'!$C$4:$J$43</definedName>
    <definedName name="_xlnm.Print_Area" localSheetId="9">'2022 Jan'!$C$4:$J$41</definedName>
    <definedName name="_xlnm.Print_Area" localSheetId="3">'2022 July'!$C$3:$J$36</definedName>
    <definedName name="_xlnm.Print_Area" localSheetId="4">'2022 June '!$C$3:$J$39</definedName>
    <definedName name="_xlnm.Print_Area" localSheetId="7">'2022 Mar'!$C$4:$J$52</definedName>
    <definedName name="_xlnm.Print_Area" localSheetId="1">'2022 Sept'!$C$3:$J$36</definedName>
    <definedName name="_xlnm.Print_Area" localSheetId="51">'August 2018 '!$C$4:$J$37</definedName>
    <definedName name="_xlnm.Print_Area" localSheetId="47">'Dec 2018'!$C$4:$J$34</definedName>
    <definedName name="_xlnm.Print_Area" localSheetId="45">'Feb 2019 '!$C$4:$J$42</definedName>
    <definedName name="_xlnm.Print_Area" localSheetId="46">'Jan 2019'!$C$4:$J$35</definedName>
    <definedName name="_xlnm.Print_Area" localSheetId="52">'July 2018'!$C$4:$J$39</definedName>
    <definedName name="_xlnm.Print_Area" localSheetId="48">'Nov 2018'!$C$4:$J$36</definedName>
    <definedName name="_xlnm.Print_Area" localSheetId="49">'Oct 2018 '!$C$4:$J$37</definedName>
    <definedName name="_xlnm.Print_Area" localSheetId="50">'Sept 2018 '!$C$4:$J$42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J32" i="66"/>
  <c r="J29" i="66"/>
  <c r="H23" i="66"/>
  <c r="J32" i="65"/>
  <c r="J29" i="65"/>
  <c r="H23" i="65"/>
  <c r="J29" i="64"/>
  <c r="J32" i="64" s="1"/>
  <c r="H23" i="64"/>
  <c r="H14" i="63"/>
  <c r="H26" i="63"/>
  <c r="J32" i="63"/>
  <c r="J35" i="63" s="1"/>
  <c r="J30" i="62"/>
  <c r="J33" i="62" s="1"/>
  <c r="H24" i="62"/>
  <c r="D14" i="61"/>
  <c r="J37" i="61" l="1"/>
  <c r="J42" i="61" s="1"/>
  <c r="J31" i="61"/>
  <c r="H14" i="61"/>
  <c r="J38" i="60"/>
  <c r="D14" i="60"/>
  <c r="D15" i="60"/>
  <c r="D16" i="60"/>
  <c r="D17" i="60"/>
  <c r="D18" i="60"/>
  <c r="D19" i="60"/>
  <c r="D20" i="60"/>
  <c r="D21" i="60"/>
  <c r="D22" i="60"/>
  <c r="H23" i="60"/>
  <c r="H14" i="60"/>
  <c r="H15" i="60"/>
  <c r="H16" i="60"/>
  <c r="H17" i="60"/>
  <c r="H18" i="60"/>
  <c r="H19" i="60"/>
  <c r="H20" i="60"/>
  <c r="H21" i="60"/>
  <c r="H22" i="60"/>
  <c r="J47" i="60" l="1"/>
  <c r="J44" i="60"/>
  <c r="J38" i="58"/>
  <c r="J35" i="58"/>
  <c r="J36" i="57"/>
  <c r="J33" i="57"/>
  <c r="J28" i="57"/>
  <c r="J36" i="56"/>
  <c r="J33" i="56"/>
  <c r="J28" i="56"/>
  <c r="J37" i="55"/>
  <c r="J34" i="55"/>
  <c r="J29" i="55"/>
  <c r="J35" i="54"/>
  <c r="J32" i="54"/>
  <c r="J27" i="54"/>
  <c r="J35" i="53"/>
  <c r="J32" i="53"/>
  <c r="J27" i="53"/>
  <c r="J35" i="52"/>
  <c r="J32" i="52"/>
  <c r="J27" i="52"/>
  <c r="J27" i="51"/>
  <c r="J32" i="51"/>
  <c r="J35" i="51"/>
  <c r="D14" i="50"/>
  <c r="H14" i="50"/>
  <c r="J31" i="50"/>
  <c r="J29" i="50"/>
  <c r="J27" i="50"/>
  <c r="J31" i="49"/>
  <c r="H13" i="43" l="1"/>
  <c r="J29" i="49"/>
  <c r="J27" i="49"/>
  <c r="J33" i="48"/>
  <c r="J31" i="48"/>
  <c r="J31" i="47"/>
  <c r="H14" i="46"/>
  <c r="J28" i="46"/>
  <c r="H14" i="45"/>
  <c r="D14" i="45"/>
  <c r="J28" i="45"/>
  <c r="J25" i="44"/>
  <c r="J27" i="43" l="1"/>
  <c r="J25" i="42" l="1"/>
  <c r="J25" i="41" l="1"/>
  <c r="J26" i="40" l="1"/>
  <c r="J28" i="39" l="1"/>
  <c r="J28" i="38" l="1"/>
  <c r="J31" i="37" l="1"/>
  <c r="H18" i="31" l="1"/>
  <c r="J20" i="30" l="1"/>
  <c r="E21" i="1" s="1"/>
  <c r="J9" i="28" l="1"/>
  <c r="J23" i="28" s="1"/>
  <c r="J9" i="31" s="1"/>
  <c r="J27" i="31" s="1"/>
  <c r="J9" i="34" l="1"/>
  <c r="J36" i="34" s="1"/>
  <c r="E23" i="1"/>
  <c r="E22" i="1"/>
  <c r="E24" i="1" l="1"/>
  <c r="J9" i="36"/>
  <c r="J30" i="36" s="1"/>
  <c r="J9" i="38" l="1"/>
  <c r="J22" i="38" s="1"/>
  <c r="E25" i="1"/>
  <c r="E26" i="1"/>
  <c r="J9" i="37"/>
  <c r="J25" i="37" s="1"/>
  <c r="D15" i="1" l="1"/>
  <c r="J9" i="39"/>
  <c r="J22" i="39" s="1"/>
  <c r="J9" i="40" l="1"/>
  <c r="J20" i="40" s="1"/>
  <c r="D16" i="1"/>
  <c r="H19" i="22"/>
  <c r="J9" i="42" l="1"/>
  <c r="J19" i="42" s="1"/>
  <c r="D17" i="1"/>
  <c r="J9" i="41"/>
  <c r="J19" i="41" s="1"/>
  <c r="D18" i="1" s="1"/>
  <c r="J31" i="21"/>
  <c r="J30" i="22" s="1"/>
  <c r="D19" i="1" l="1"/>
  <c r="J9" i="43"/>
  <c r="J21" i="43" s="1"/>
  <c r="J31" i="20"/>
  <c r="J9" i="45" l="1"/>
  <c r="J22" i="45" s="1"/>
  <c r="D20" i="1"/>
  <c r="J9" i="44"/>
  <c r="J19" i="44" s="1"/>
  <c r="D21" i="1" s="1"/>
  <c r="I27" i="16"/>
  <c r="D22" i="1" l="1"/>
  <c r="J9" i="46"/>
  <c r="J22" i="46" s="1"/>
  <c r="J36" i="19"/>
  <c r="D23" i="1" l="1"/>
  <c r="J9" i="47"/>
  <c r="J25" i="47" s="1"/>
  <c r="J18" i="15"/>
  <c r="J9" i="48" l="1"/>
  <c r="J26" i="48" s="1"/>
  <c r="D24" i="1"/>
  <c r="N38" i="15"/>
  <c r="J9" i="49" l="1"/>
  <c r="D25" i="1"/>
  <c r="J50" i="16"/>
  <c r="J44" i="16"/>
  <c r="J38" i="22" l="1"/>
  <c r="J43" i="22" s="1"/>
  <c r="J35" i="21"/>
  <c r="J35" i="20"/>
  <c r="J40" i="19"/>
  <c r="H47" i="34" l="1"/>
  <c r="J50" i="34" s="1"/>
  <c r="J41" i="36" s="1"/>
  <c r="J44" i="36" s="1"/>
  <c r="J37" i="31"/>
  <c r="J30" i="30"/>
  <c r="J33" i="28"/>
  <c r="J35" i="27"/>
  <c r="J32" i="25"/>
  <c r="J28" i="24"/>
  <c r="J58" i="15"/>
  <c r="J30" i="44" l="1"/>
  <c r="J36" i="47"/>
  <c r="J40" i="47" s="1"/>
  <c r="J33" i="46"/>
  <c r="J33" i="45"/>
  <c r="J38" i="48"/>
  <c r="J42" i="48" s="1"/>
  <c r="J32" i="43"/>
  <c r="J30" i="42"/>
  <c r="J30" i="41"/>
  <c r="J31" i="40"/>
  <c r="J33" i="39"/>
  <c r="J33" i="38"/>
  <c r="J36" i="37"/>
  <c r="J52" i="15"/>
  <c r="J39" i="50" l="1"/>
  <c r="J36" i="50"/>
  <c r="J36" i="49"/>
  <c r="J39" i="49"/>
  <c r="J36" i="12"/>
  <c r="J20" i="8" l="1"/>
  <c r="J27" i="8" s="1"/>
  <c r="J9" i="9" s="1"/>
  <c r="J18" i="9" s="1"/>
  <c r="J25" i="9" l="1"/>
  <c r="J9" i="11"/>
  <c r="J19" i="11" s="1"/>
  <c r="J26" i="11" s="1"/>
  <c r="J9" i="12" s="1"/>
  <c r="J22" i="12" s="1"/>
  <c r="J27" i="7"/>
  <c r="J30" i="7" s="1"/>
  <c r="J9" i="15" l="1"/>
  <c r="J38" i="15" s="1"/>
  <c r="J29" i="12"/>
  <c r="P23" i="12"/>
  <c r="J30" i="6"/>
  <c r="J16" i="6"/>
  <c r="J23" i="6" s="1"/>
  <c r="M38" i="15" l="1"/>
  <c r="O38" i="15" s="1"/>
  <c r="O41" i="15" s="1"/>
  <c r="Q41" i="15" s="1"/>
  <c r="J9" i="16"/>
  <c r="J30" i="16" s="1"/>
  <c r="J37" i="16" s="1"/>
  <c r="J9" i="19" s="1"/>
  <c r="J22" i="19" s="1"/>
  <c r="J29" i="19" s="1"/>
  <c r="J9" i="20" s="1"/>
  <c r="J22" i="20" s="1"/>
  <c r="J9" i="21" s="1"/>
  <c r="J22" i="21" s="1"/>
  <c r="J9" i="22" s="1"/>
  <c r="J25" i="22" s="1"/>
  <c r="J45" i="15"/>
  <c r="P39" i="15"/>
  <c r="J30" i="5"/>
  <c r="J16" i="5"/>
  <c r="J33" i="5" s="1"/>
  <c r="J25" i="4"/>
  <c r="J28" i="4" s="1"/>
  <c r="J9" i="25" l="1"/>
  <c r="J26" i="25" s="1"/>
  <c r="J9" i="27" s="1"/>
  <c r="J25" i="27" s="1"/>
  <c r="E20" i="1" s="1"/>
  <c r="J9" i="24"/>
  <c r="J22" i="24" s="1"/>
  <c r="H26" i="3"/>
  <c r="H17" i="3"/>
  <c r="H29" i="3" s="1"/>
  <c r="E19" i="1" l="1"/>
  <c r="J34" i="22"/>
  <c r="J23" i="30" l="1"/>
  <c r="J27" i="30" s="1"/>
  <c r="J26" i="28"/>
  <c r="J30" i="28" s="1"/>
  <c r="J28" i="27"/>
  <c r="J32" i="27" s="1"/>
  <c r="J29" i="25"/>
  <c r="J25" i="24"/>
  <c r="J22" i="49"/>
  <c r="J9" i="50" s="1"/>
  <c r="J22" i="50" s="1"/>
  <c r="C15" i="1" l="1"/>
  <c r="J9" i="51"/>
  <c r="J22" i="51" s="1"/>
  <c r="J9" i="55" s="1"/>
  <c r="J24" i="55" s="1"/>
  <c r="J33" i="36"/>
  <c r="J37" i="36" s="1"/>
  <c r="J39" i="34"/>
  <c r="J43" i="34" s="1"/>
  <c r="J30" i="31"/>
  <c r="J34" i="31" s="1"/>
  <c r="D26" i="1"/>
  <c r="J9" i="57" l="1"/>
  <c r="J23" i="57" s="1"/>
  <c r="C22" i="1" s="1"/>
  <c r="J9" i="58"/>
  <c r="J23" i="58" s="1"/>
  <c r="C20" i="1"/>
  <c r="J9" i="56"/>
  <c r="J23" i="56" s="1"/>
  <c r="C21" i="1" s="1"/>
  <c r="J9" i="53"/>
  <c r="J22" i="53" s="1"/>
  <c r="C18" i="1" s="1"/>
  <c r="J9" i="54"/>
  <c r="J22" i="54" s="1"/>
  <c r="C19" i="1" s="1"/>
  <c r="C16" i="1"/>
  <c r="J9" i="52"/>
  <c r="J22" i="52" s="1"/>
  <c r="C17" i="1" s="1"/>
  <c r="J22" i="41"/>
  <c r="J27" i="41" s="1"/>
  <c r="J23" i="40"/>
  <c r="J28" i="40" s="1"/>
  <c r="J25" i="39"/>
  <c r="J30" i="39" s="1"/>
  <c r="J25" i="38"/>
  <c r="J30" i="38" s="1"/>
  <c r="J28" i="37"/>
  <c r="J33" i="37" s="1"/>
  <c r="C23" i="1" l="1"/>
  <c r="J9" i="60"/>
  <c r="J33" i="60" s="1"/>
  <c r="J25" i="45"/>
  <c r="J30" i="45" s="1"/>
  <c r="J28" i="47"/>
  <c r="J33" i="47" s="1"/>
  <c r="J25" i="46"/>
  <c r="J30" i="46" s="1"/>
  <c r="J22" i="44"/>
  <c r="J27" i="44" s="1"/>
  <c r="J24" i="43"/>
  <c r="J29" i="43" s="1"/>
  <c r="J22" i="42"/>
  <c r="J27" i="42" s="1"/>
  <c r="C24" i="1" l="1"/>
  <c r="J9" i="61"/>
  <c r="J26" i="61" s="1"/>
  <c r="J9" i="63" s="1"/>
  <c r="J25" i="50"/>
  <c r="J33" i="50" s="1"/>
  <c r="J29" i="48"/>
  <c r="J35" i="48" s="1"/>
  <c r="J25" i="49"/>
  <c r="J33" i="49" s="1"/>
  <c r="J21" i="63" l="1"/>
  <c r="C25" i="1"/>
  <c r="J9" i="62"/>
  <c r="J19" i="62" s="1"/>
  <c r="C26" i="1" s="1"/>
  <c r="J26" i="57"/>
  <c r="J30" i="57" s="1"/>
  <c r="J26" i="58" s="1"/>
  <c r="J32" i="58" s="1"/>
  <c r="J22" i="62" s="1"/>
  <c r="J27" i="62" s="1"/>
  <c r="J27" i="55"/>
  <c r="J31" i="55" s="1"/>
  <c r="J26" i="56"/>
  <c r="J30" i="56" s="1"/>
  <c r="J25" i="53"/>
  <c r="J29" i="53" s="1"/>
  <c r="J25" i="54"/>
  <c r="J29" i="54" s="1"/>
  <c r="J25" i="51"/>
  <c r="J29" i="51" s="1"/>
  <c r="J25" i="52"/>
  <c r="J29" i="52" s="1"/>
  <c r="J21" i="65" l="1"/>
  <c r="J26" i="65" s="1"/>
  <c r="J21" i="66"/>
  <c r="J26" i="66" s="1"/>
  <c r="J9" i="65"/>
  <c r="J18" i="65" s="1"/>
  <c r="B17" i="1" s="1"/>
  <c r="J9" i="66"/>
  <c r="J18" i="66" s="1"/>
  <c r="J24" i="63"/>
  <c r="J29" i="63" s="1"/>
  <c r="J21" i="64"/>
  <c r="J26" i="64" s="1"/>
  <c r="B15" i="1"/>
  <c r="J9" i="64"/>
  <c r="J18" i="64" s="1"/>
  <c r="B16" i="1" s="1"/>
  <c r="J36" i="60"/>
  <c r="J41" i="60" s="1"/>
  <c r="J29" i="61"/>
  <c r="J34" i="61" s="1"/>
</calcChain>
</file>

<file path=xl/sharedStrings.xml><?xml version="1.0" encoding="utf-8"?>
<sst xmlns="http://schemas.openxmlformats.org/spreadsheetml/2006/main" count="902" uniqueCount="364">
  <si>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</si>
  <si>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</si>
  <si>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</si>
  <si>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</si>
  <si>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</si>
  <si>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</si>
  <si>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</si>
  <si>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</si>
  <si>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</si>
  <si>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</si>
  <si>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</si>
  <si>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</si>
  <si>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SAE Carolina Section</t>
  </si>
  <si>
    <t>Income</t>
  </si>
  <si>
    <t>Expenses</t>
  </si>
  <si>
    <t xml:space="preserve">BB&amp;T  Balance as of 01 June 2018 </t>
  </si>
  <si>
    <t xml:space="preserve">BB&amp;T Balance as of 28 June 2018 </t>
  </si>
  <si>
    <t>Grand Total Bank Balance</t>
  </si>
  <si>
    <t>SAE SMMIP</t>
  </si>
  <si>
    <t xml:space="preserve">Petty Cash </t>
  </si>
  <si>
    <t>Submitted M Z Eglajs</t>
  </si>
  <si>
    <t>Financial Statement</t>
  </si>
  <si>
    <t>01 June through 29 June 2018</t>
  </si>
  <si>
    <t xml:space="preserve">Chase Bank  Balance as of 01 June 2018 </t>
  </si>
  <si>
    <t xml:space="preserve">SAE International </t>
  </si>
  <si>
    <t xml:space="preserve">Pomodoros Card purchase </t>
  </si>
  <si>
    <t xml:space="preserve">Chase Bank  Balance as of 28 June 2018 </t>
  </si>
  <si>
    <t>Check 2204 Skip Y,  J Dom plaque</t>
  </si>
  <si>
    <t>Check 2205 Skip Y,  J Dom Restaurant card</t>
  </si>
  <si>
    <t>01 August through 27 August 2018</t>
  </si>
  <si>
    <t xml:space="preserve">Chase Bank  Balance as of 01 August 2018 </t>
  </si>
  <si>
    <t xml:space="preserve">Chase Bank  Balance as of 27 August 2018 </t>
  </si>
  <si>
    <t xml:space="preserve">BB&amp;T  Balance as of 01 August 2018 </t>
  </si>
  <si>
    <t>Debit Card Affordable Charlotte  (PENDING)</t>
  </si>
  <si>
    <t xml:space="preserve">BB&amp;T Balance as of 27 August 2018 </t>
  </si>
  <si>
    <t>01 Sept through 24 Sept 2018</t>
  </si>
  <si>
    <t xml:space="preserve">Chase Bank  Balance as of 01 Sept 2018 </t>
  </si>
  <si>
    <t xml:space="preserve">Chase Bank  Balance as of 24 Sept 2018 </t>
  </si>
  <si>
    <t xml:space="preserve">BB&amp;T  Balance as of 01 Sept 2018 </t>
  </si>
  <si>
    <t>Debit Card Charlotte Motor Speedway  (PENDING)</t>
  </si>
  <si>
    <t>Transfer to Chase account</t>
  </si>
  <si>
    <t>Bank charge (Pending)</t>
  </si>
  <si>
    <t xml:space="preserve">BB&amp;T Balance as of 24 Sept 2018 </t>
  </si>
  <si>
    <t>01 Oct through 22 Oct 2018</t>
  </si>
  <si>
    <t xml:space="preserve">Chase Bank  Balance as of 01 Oct 2018 </t>
  </si>
  <si>
    <t xml:space="preserve">Chase Bank  Balance as of 22 Oct 2018 </t>
  </si>
  <si>
    <t xml:space="preserve">BB&amp;T  Balance as of 01 Oct 2018 </t>
  </si>
  <si>
    <t>Account closed Sept 2018</t>
  </si>
  <si>
    <t>Interest 09.2018</t>
  </si>
  <si>
    <t>Grand Total SAE SMMIP</t>
  </si>
  <si>
    <t>01 July through 29 July 2018</t>
  </si>
  <si>
    <t xml:space="preserve">Chase Bank  Balance as of 01 July 2018 </t>
  </si>
  <si>
    <t xml:space="preserve">Chase Bank  Balance as of 28 July 2018 </t>
  </si>
  <si>
    <t>Check 2206 MZE Post packing pens re Jarrett Bay Boat event</t>
  </si>
  <si>
    <t>Check 2207 Tennessee Uni scholarship  Olivia Hayes</t>
  </si>
  <si>
    <t>Check 2208  Clemson Uni scholarship Wynn Dixon</t>
  </si>
  <si>
    <t>29  Oct through 26 Nov 2018</t>
  </si>
  <si>
    <t xml:space="preserve">Chase Bank  Balance as of 29 Oct 2018 </t>
  </si>
  <si>
    <t>SAE International Charlotte Raceday</t>
  </si>
  <si>
    <t>SAE International 2018 fourth  payment dues remit</t>
  </si>
  <si>
    <t>SAE International 2019 first payment dues remit</t>
  </si>
  <si>
    <t xml:space="preserve">BB&amp;T refund </t>
  </si>
  <si>
    <t xml:space="preserve">Chase Bank  Balance as of 25Nov 2018 </t>
  </si>
  <si>
    <t>01 Dec through 10 Dec 2018</t>
  </si>
  <si>
    <t>Post packing pens AA event</t>
  </si>
  <si>
    <t xml:space="preserve">Chase Bank  Balance as of 01 Dec 2018 </t>
  </si>
  <si>
    <t xml:space="preserve">Chase Bank  Balance as of 10 Dec 2018 </t>
  </si>
  <si>
    <t xml:space="preserve">SAE International 2019  payment </t>
  </si>
  <si>
    <t>10 Dec through 10 Jan 2019</t>
  </si>
  <si>
    <t>Chase Bank  Balance as of 10 Jan 2019</t>
  </si>
  <si>
    <t>Golf Outing Davco deposit</t>
  </si>
  <si>
    <t>Golf Outing Camertt deposit</t>
  </si>
  <si>
    <t>10 Jan through 17 Feb 2019</t>
  </si>
  <si>
    <t>SC Manu Alliance</t>
  </si>
  <si>
    <t>Webb Custom Kitchen</t>
  </si>
  <si>
    <t xml:space="preserve">Interest earned Oct, Nov, Dec 2018 </t>
  </si>
  <si>
    <t xml:space="preserve">Chase Bank  Balance as of 10 Jan 2018 </t>
  </si>
  <si>
    <t>Chase Bank  Balance as of 17 Feb 2019</t>
  </si>
  <si>
    <t>SAE 2019 2nd payment section Dues Reim</t>
  </si>
  <si>
    <t>Roush Yates Bronze sponsor (pending deposit)</t>
  </si>
  <si>
    <t>ROJO shirts (pending)</t>
  </si>
  <si>
    <t>18 Feb through 22 March 2019</t>
  </si>
  <si>
    <t>UPS</t>
  </si>
  <si>
    <t>Staples 21 March</t>
  </si>
  <si>
    <t>Steve Ashley printing</t>
  </si>
  <si>
    <t>Georgia Southern - Baja and FSAE</t>
  </si>
  <si>
    <t xml:space="preserve">Eastern Carolina - Baja </t>
  </si>
  <si>
    <t>NC State - Baja and FSAE </t>
  </si>
  <si>
    <t>UNC-Charlotte FSAE</t>
  </si>
  <si>
    <t>Clemson - Baja and FSAE</t>
  </si>
  <si>
    <t>NC A&amp;T - Baja AeroDesign I - II AutoDrive</t>
  </si>
  <si>
    <t xml:space="preserve">Golf Outing deposit 11 March </t>
  </si>
  <si>
    <t xml:space="preserve">Golf Outing deposit 13 March </t>
  </si>
  <si>
    <t>`</t>
  </si>
  <si>
    <t>Student Night Shirt Sale</t>
  </si>
  <si>
    <t>Total Petty Cash</t>
  </si>
  <si>
    <t>Haeco Student Night check deposit</t>
  </si>
  <si>
    <t>Chase Bank  Balance as of 22 March 2019</t>
  </si>
  <si>
    <t xml:space="preserve">Chase Bank  Balance as of 18 Feb 2018 </t>
  </si>
  <si>
    <t xml:space="preserve"> Staples credit  21 March</t>
  </si>
  <si>
    <t xml:space="preserve">SAE on line registration credit </t>
  </si>
  <si>
    <t>Aramark Volvo Food Service</t>
  </si>
  <si>
    <t>23 March  through 21 April 2019</t>
  </si>
  <si>
    <t xml:space="preserve">Golf Outing deposit 29 March </t>
  </si>
  <si>
    <t>Golf Outing deposit 18 April</t>
  </si>
  <si>
    <t xml:space="preserve"> </t>
  </si>
  <si>
    <t>B West: Prizes and refund for 10 Volvo Employees</t>
  </si>
  <si>
    <t>B West: Bryan Park</t>
  </si>
  <si>
    <t>B West : Soft drinks</t>
  </si>
  <si>
    <t>Card purchase 21 March</t>
  </si>
  <si>
    <t>B West:  Rib Night $384 and 
              3 additional Volvo Employee refund</t>
  </si>
  <si>
    <r>
      <t xml:space="preserve">USC - FSAE electric  </t>
    </r>
    <r>
      <rPr>
        <b/>
        <i/>
        <u/>
        <sz val="11"/>
        <color theme="1"/>
        <rFont val="Calibri"/>
        <family val="2"/>
        <scheme val="minor"/>
      </rPr>
      <t>(awaiting deposit into account cashed 08 may 2019 )</t>
    </r>
  </si>
  <si>
    <t>Golf Outing deposit 02 May</t>
  </si>
  <si>
    <t>Interest earned Jan, Feb, March 2019</t>
  </si>
  <si>
    <t>Golf Outing deposit 16 May</t>
  </si>
  <si>
    <t xml:space="preserve">Chase Bank  Balance as of 23 March 2018 </t>
  </si>
  <si>
    <t>Chase Bank  Balance as of 21 April 2019</t>
  </si>
  <si>
    <t xml:space="preserve">Chase Bank  Balance as of 21 April 2018 </t>
  </si>
  <si>
    <t>21 April  through 26 May 2019</t>
  </si>
  <si>
    <t>Chase Bank  Balance as of 26 May 2019</t>
  </si>
  <si>
    <t>27 May  through 19 June 2019</t>
  </si>
  <si>
    <t>SAE International 3rd section dues 2019 payment</t>
  </si>
  <si>
    <t>Grand Total Chase Bank  Balance as of 19 June 2019</t>
  </si>
  <si>
    <t>Chase Bank  Balance as of 27 May 2019</t>
  </si>
  <si>
    <t>19 June  through 07 July 2019</t>
  </si>
  <si>
    <t>Chase Bank  Balance as of 19 June</t>
  </si>
  <si>
    <t>Grand Total Chase Bank  Balance as of 07 July 2019</t>
  </si>
  <si>
    <t xml:space="preserve">Chase Bank  Balance as of 08 July </t>
  </si>
  <si>
    <t>Check #1018  USC Upstate  scholarship  Tallon McAbee</t>
  </si>
  <si>
    <t>Check #1019  Rick Panettieri Wheels Through Time entrance</t>
  </si>
  <si>
    <t>Interest earned Apr. May, June 2019</t>
  </si>
  <si>
    <t>Petty Cash</t>
  </si>
  <si>
    <t>Withdrawl</t>
  </si>
  <si>
    <t>UPS  documents to Barry West</t>
  </si>
  <si>
    <t>Balance Petty Cash</t>
  </si>
  <si>
    <t>08 July  through 25 August 2019</t>
  </si>
  <si>
    <t>Grand Total Chase Bank  Balance as of  25 Aug  2019</t>
  </si>
  <si>
    <t>Pomodoros Chase Card purchase Board dinner</t>
  </si>
  <si>
    <t xml:space="preserve">UPS Chase card Pen  package to D Hambey 16 Aug 2019 </t>
  </si>
  <si>
    <t>25 August  through 15 September 2019</t>
  </si>
  <si>
    <t>Chase Bank  Balance as of 25 August 2019</t>
  </si>
  <si>
    <t>Grand Total Chase Bank  Balance as of  15 Sept 2019</t>
  </si>
  <si>
    <t xml:space="preserve">Chase Bank  Balance as of 15 September 2019  </t>
  </si>
  <si>
    <t>JNN Catering</t>
  </si>
  <si>
    <t xml:space="preserve">SAE International Oct 2019 SECTION ONLINE REIMBURSEMENT </t>
  </si>
  <si>
    <t xml:space="preserve"> 15 September through 18 October 2019</t>
  </si>
  <si>
    <t>Grand Total Chase Bank  Balance as of  18 October 2019</t>
  </si>
  <si>
    <t xml:space="preserve">(Wheels Time $36.00  AeroDyn $47.35  Charlotte Race Day $869.28 ) </t>
  </si>
  <si>
    <t>Interest earned Jul, Aug, Sept 2019</t>
  </si>
  <si>
    <t xml:space="preserve">Chase Bank  Balance as of 18 October 2019 </t>
  </si>
  <si>
    <t>Charlotte Speedway event, supplies D Hamby check #1020</t>
  </si>
  <si>
    <t>2019 Golf Outing deposit</t>
  </si>
  <si>
    <t>SAE 2019 4TH PMT SECTION DUES REIM</t>
  </si>
  <si>
    <t>SAE 2020 1st PMT SECTION DUES REIM</t>
  </si>
  <si>
    <t xml:space="preserve"> 18 October through 23 November 2019</t>
  </si>
  <si>
    <t>Grand Total Chase Bank  Balance as of  23 November 2019</t>
  </si>
  <si>
    <r>
      <t xml:space="preserve">Davco 2020  Golf Outing  </t>
    </r>
    <r>
      <rPr>
        <b/>
        <i/>
        <sz val="10"/>
        <color theme="1"/>
        <rFont val="Calibri"/>
        <family val="2"/>
        <scheme val="minor"/>
      </rPr>
      <t>pending</t>
    </r>
  </si>
  <si>
    <r>
      <t xml:space="preserve">Grankon Golf Outing  </t>
    </r>
    <r>
      <rPr>
        <b/>
        <i/>
        <sz val="10"/>
        <color theme="1"/>
        <rFont val="Calibri"/>
        <family val="2"/>
        <scheme val="minor"/>
      </rPr>
      <t>pending</t>
    </r>
  </si>
  <si>
    <t xml:space="preserve">Chase Bank  Balance as of 23 November 2019 </t>
  </si>
  <si>
    <t>Grand Total Chase Bank  Balance as of  17 January 2020</t>
  </si>
  <si>
    <t>Wind Tunnel Event expense (check # 1022)</t>
  </si>
  <si>
    <t>Morse Measurements Event Dinner cost (Smoke Pit shared with Morse)</t>
  </si>
  <si>
    <t>SAE International Section Online Reimbursement 1/9/2020</t>
  </si>
  <si>
    <t xml:space="preserve"> 23 November 2019 through  31 December 2019</t>
  </si>
  <si>
    <t>Grand Total Chase Bank  Balance as of  31 December 2019</t>
  </si>
  <si>
    <t>01 January 2020  through  17 January 2020</t>
  </si>
  <si>
    <t>Chase Bank  Balance as of 01 January 2020</t>
  </si>
  <si>
    <t>Golf Outing TE Connectivity</t>
  </si>
  <si>
    <t>Golf Outing  Superior Trim</t>
  </si>
  <si>
    <t>SAE Carolina Board meeting dinner</t>
  </si>
  <si>
    <t>Interest earned Oct, Nov, Dec 2019</t>
  </si>
  <si>
    <t>Golf Outing Kevin Sherrill (PKC Group)</t>
  </si>
  <si>
    <t>Student Night name badges supplies (credit card)</t>
  </si>
  <si>
    <t xml:space="preserve">Student Night sponsor  John Deere </t>
  </si>
  <si>
    <t>Grand Total Chase Bank  Balance as of  18 February 2020</t>
  </si>
  <si>
    <t>NC State Wolfpack Motorsports Baja  Check No. 1026</t>
  </si>
  <si>
    <t>GA Southern SAE Eagle Motorsports    Baja, FSAE    Check No. 1024</t>
  </si>
  <si>
    <t>NC State Wolfpack Motorsports FSAE, FSAE e    Check No. 1027</t>
  </si>
  <si>
    <t>UNCC Charlotte Baja  FSAE  Check No. 1029</t>
  </si>
  <si>
    <t>Clemson Uni FSAE  Check No. 1030</t>
  </si>
  <si>
    <t>WCU Baja Check No. 1032</t>
  </si>
  <si>
    <t>NC State Wolfpack Motorsports 1st FSAE  Check No. 1033</t>
  </si>
  <si>
    <t>GA Southern SAE Eagle Motorsports    2nd  FSAE    Check No. 1034</t>
  </si>
  <si>
    <t>Clemson Uni  3rd  FSAE  Check No. 1035</t>
  </si>
  <si>
    <t>NC State Wolfpack Motorsports  1st Baja  Check No. 1036</t>
  </si>
  <si>
    <t>UNCC Charlotte 2nd  Baja   Check No. 1037</t>
  </si>
  <si>
    <t>GA Southern SAE Eagle Motorsports    3rd  Baja   Check No. 1038</t>
  </si>
  <si>
    <t>Golf Outing Peter Kallgren</t>
  </si>
  <si>
    <t>Golf Outing Bendix</t>
  </si>
  <si>
    <t>Chase Bank  Balance as of 18 February 2020</t>
  </si>
  <si>
    <t>Golf Outing refund Peter Kallgren Check No. 1044</t>
  </si>
  <si>
    <t>SAE registration Student Night sponsors and attendees</t>
  </si>
  <si>
    <t>Grand Total Chase Bank  Balance as of  27 March 2020</t>
  </si>
  <si>
    <t>Grand Total Petty Cash 27 March 2020</t>
  </si>
  <si>
    <t>18 February 2020  through  27  March 2020</t>
  </si>
  <si>
    <t>D Hamby Wind Tunnel cash at door payment</t>
  </si>
  <si>
    <t>SAE USC    FSAE e   Check No. 1025</t>
  </si>
  <si>
    <t>18 January 2020  through  18  February 2020</t>
  </si>
  <si>
    <t>SAE 2020 2nd payment section Dues Reimbursement</t>
  </si>
  <si>
    <t>Chase Bank  Balance as of 28 March 2020</t>
  </si>
  <si>
    <t>28  March 2020  through  30 April 2020</t>
  </si>
  <si>
    <t>Postage stamps</t>
  </si>
  <si>
    <t>Grand Total Chase Bank  Balance as of   30 April 2020</t>
  </si>
  <si>
    <t>Grand Total Petty Cash  30 April 2020</t>
  </si>
  <si>
    <t>Golf Outing  Refund Grakon Check 1039</t>
  </si>
  <si>
    <t>Golf Outing  Refund  Bendix Check 1040</t>
  </si>
  <si>
    <t>Golf Outing  Refund Superior Trim (Pieco) Check 1041</t>
  </si>
  <si>
    <t>Golf Outing  Refund  Davco Check 1042</t>
  </si>
  <si>
    <t>Golf Outing  Refund Kevin Sherrill (PKC Group)  Check 1043</t>
  </si>
  <si>
    <t>Golf Outing  Refund  TE Connectivity Check 1045</t>
  </si>
  <si>
    <t>Hendrick Motorsports  Student Night catering Check 1047</t>
  </si>
  <si>
    <t xml:space="preserve"> Clemson Uni Baja  Check 1031 </t>
  </si>
  <si>
    <t>Chase Bank  Balance as of 01 May 2020</t>
  </si>
  <si>
    <t>01 May 2020  through  30 May 2020</t>
  </si>
  <si>
    <t>Interest earned Jan, Feb, March 2020</t>
  </si>
  <si>
    <t>Grand Total Chase Bank  Balance as of  30 May 2020</t>
  </si>
  <si>
    <t>Interest earned April, May 2020</t>
  </si>
  <si>
    <t>01 June 2020  through  30 June 2020</t>
  </si>
  <si>
    <t>Chase Bank  Balance as of 01 June 2020</t>
  </si>
  <si>
    <t>Grand Total Chase Bank  Balance as of  30 June 2020</t>
  </si>
  <si>
    <t>NC A&amp;T  Student Night Check No. 1026</t>
  </si>
  <si>
    <t>01 July 2020  through  31 July 2020</t>
  </si>
  <si>
    <t>Chase Bank  Balance as of 01 July 2020</t>
  </si>
  <si>
    <t>Grand Total Chase Bank  Balance as of  31 July 2020</t>
  </si>
  <si>
    <t>Elliot Phillips Clemson Uni SAE Carolina scholarship Check no. 1046</t>
  </si>
  <si>
    <t>Brett Jackson Spartanburg CC SAE Carolina scholarship Check no. 1048</t>
  </si>
  <si>
    <t>01 August 2020  through  31 August 2020</t>
  </si>
  <si>
    <t>Chase Bank  Balance as of 01 August 2020</t>
  </si>
  <si>
    <t>Grand Total Chase Bank  Balance as of  31 August 2020</t>
  </si>
  <si>
    <t>SAE International 3rd section dues 2020 payment</t>
  </si>
  <si>
    <t>01 September 2020  through  30 September 2020</t>
  </si>
  <si>
    <t>Grand Total Chase Bank  Balance as of   30 September 2020</t>
  </si>
  <si>
    <t xml:space="preserve">Chase Bank  Balance as of 01 September 2020 </t>
  </si>
  <si>
    <t>Interest earned June 2020</t>
  </si>
  <si>
    <t>Interest earned July, August, September 2020</t>
  </si>
  <si>
    <t>01 October 2020  through  31 October 2020</t>
  </si>
  <si>
    <t xml:space="preserve">Chase Bank  Balance as of 01 October 2020 </t>
  </si>
  <si>
    <t>Grand Total Chase Bank  Balance as of   31 October 2020</t>
  </si>
  <si>
    <t>2020 1st PMT SECTION DUES REIM</t>
  </si>
  <si>
    <t>01 November 2020  through  30 November 2020</t>
  </si>
  <si>
    <t xml:space="preserve">Chase Bank  Balance as of 01 November 2020 </t>
  </si>
  <si>
    <t>Grand Total Chase Bank  Balance as of   30 November 2020</t>
  </si>
  <si>
    <t>FY 2020 2021  Account Balance</t>
  </si>
  <si>
    <t>FY 2017 2018 Account Balance</t>
  </si>
  <si>
    <t>FY 2018 2019 Account Balance</t>
  </si>
  <si>
    <t>FY 2019 2020 Account Balance</t>
  </si>
  <si>
    <t>01 December 2020  through  31 December 2020</t>
  </si>
  <si>
    <t xml:space="preserve">Chase Bank  Balance as of 01 December 2020 </t>
  </si>
  <si>
    <t>Grand Total Chase Bank  Balance as of   31 December 2020</t>
  </si>
  <si>
    <t>01 January 2021  through  31 January 2021</t>
  </si>
  <si>
    <t>Grand Total Chase Bank  Balance as of  31 January 2021</t>
  </si>
  <si>
    <t>Chase Bank  Balance as of 01 January 2021</t>
  </si>
  <si>
    <t xml:space="preserve">SAE 2021 2nd PMT SECTION DUES reimbursement </t>
  </si>
  <si>
    <t>01 March 2021  through  31 March 2021</t>
  </si>
  <si>
    <t>Chase Bank  Balance as of 01 March 2021</t>
  </si>
  <si>
    <t>Grand Total Chase Bank  Balance as of  31 March 2021</t>
  </si>
  <si>
    <r>
      <t xml:space="preserve">SAE Foundation </t>
    </r>
    <r>
      <rPr>
        <sz val="11"/>
        <color theme="1"/>
        <rFont val="Calibri"/>
        <family val="2"/>
      </rPr>
      <t>π Day 2021 Donation</t>
    </r>
  </si>
  <si>
    <t>Golf Outing deposit 30  March - DAVCO</t>
  </si>
  <si>
    <t>Golf Outing deposit 30  March - Kalren</t>
  </si>
  <si>
    <t>Golf Outing deposit 30  March - West</t>
  </si>
  <si>
    <t>Golf Outing deposit 30  March-  Oldis</t>
  </si>
  <si>
    <t>Golf Outing deposit 30  March - Rosati</t>
  </si>
  <si>
    <t>Grand Total Petty Cash  31 March 2021</t>
  </si>
  <si>
    <t>Golf outing prize monies,  Barry West postage check # 1049</t>
  </si>
  <si>
    <t>Golf Outing deposit 08 April  - Sherrill</t>
  </si>
  <si>
    <t>Golf Outing deposit 08 April  - Herrington/Skuza</t>
  </si>
  <si>
    <t>Golf Outing deposit 09 April  - Shelton</t>
  </si>
  <si>
    <t>Golf Outing deposit 09 April  - Julian Electric</t>
  </si>
  <si>
    <t>Interest earned October, November, December 2020</t>
  </si>
  <si>
    <t>Interest earned January, February, March 2021</t>
  </si>
  <si>
    <t>Chase Bank  Balance as of 01 April 2021</t>
  </si>
  <si>
    <t>Grand Total Chase Bank  Balance as of  30 April 2021</t>
  </si>
  <si>
    <t>Bryan Park Golf SAE Carolina Tournament fee Check # 1050</t>
  </si>
  <si>
    <t>Golf Outing deposit 22 April  - TE Connectivity  via SAE National</t>
  </si>
  <si>
    <t>Certified Mail - Checks to B West</t>
  </si>
  <si>
    <t>01 February 2021  through  28 February 2021</t>
  </si>
  <si>
    <t>Chase Bank  Balance as of 01 February 2021</t>
  </si>
  <si>
    <t>Grand Total Chase Bank  Balance as of  28 February 2021</t>
  </si>
  <si>
    <t>01 April 2021  through  30 April 2021</t>
  </si>
  <si>
    <t>Chase Bank  Balance as of 01 May 2021</t>
  </si>
  <si>
    <t>Grand Total Chase Bank  Balance as of  31 May 2021</t>
  </si>
  <si>
    <t>Grand Total Petty Cash  31 May 2021</t>
  </si>
  <si>
    <t>01 May 2021  through  31 May 2021</t>
  </si>
  <si>
    <t>Interest earned April, May  2021</t>
  </si>
  <si>
    <t>01 June 2021  through  30 June 2021</t>
  </si>
  <si>
    <t>Chase Bank  Balance as of 01 June 2021</t>
  </si>
  <si>
    <t>Grand Total Chase Bank  Balance as of  30 June 2021</t>
  </si>
  <si>
    <t>Grand Total Petty Cash  30 June 2021</t>
  </si>
  <si>
    <t>FY 2021 2022  Account Balance</t>
  </si>
  <si>
    <t>01 July 2021  through  31 July 2021</t>
  </si>
  <si>
    <t>Chase Bank  Balance as of 01 July 2021</t>
  </si>
  <si>
    <t>Grand Total Chase Bank  Balance as of  31 July 2021</t>
  </si>
  <si>
    <t>Thomas Mathis Clemson Uni SAE Carolina scholarship Check no. 1046</t>
  </si>
  <si>
    <t>Tejasvi Joshi Clemson Uni SAE Carolina scholarship Check no. 1046</t>
  </si>
  <si>
    <t>Interest earned June 2021</t>
  </si>
  <si>
    <t>01 August 2021  through  31 August 2021</t>
  </si>
  <si>
    <t>Chase Bank  Balance as of 01 August 2021</t>
  </si>
  <si>
    <t>Grand Total Chase Bank  Balance as of  31 August 2021</t>
  </si>
  <si>
    <t>01 September 2021  through  30 September 2021</t>
  </si>
  <si>
    <t>Chase Bank  Balance as of 01 September 2021</t>
  </si>
  <si>
    <t>Grand Total Petty Cash  31 August 2021</t>
  </si>
  <si>
    <t>Grand Total Chase Bank  Balance as of  30 September 2021</t>
  </si>
  <si>
    <t>Grand Total Petty Cash  30 September 2021</t>
  </si>
  <si>
    <t>01 October 2021  through  31 October 2021</t>
  </si>
  <si>
    <t>Chase Bank  Balance as of 01 October 2021</t>
  </si>
  <si>
    <t>Grand Total Chase Bank  Balance as of  31 October 2021</t>
  </si>
  <si>
    <t>Grand Total Petty Cash  31 October 2021</t>
  </si>
  <si>
    <t>SAE 2021 4th PMT SECTION DUES REIM</t>
  </si>
  <si>
    <t>Chase Bank  Balance as of 01  November 2021</t>
  </si>
  <si>
    <t>Grand Total Chase Bank  Balance as of  30  November 2021</t>
  </si>
  <si>
    <t>01 December 2021  through  31  December 2021</t>
  </si>
  <si>
    <t>Chase Bank  Balance as of 01  December 2021</t>
  </si>
  <si>
    <t>Grand Total Chase Bank  Balance as of  31 December 2021</t>
  </si>
  <si>
    <t>01 November 2021  through  30  November 2021</t>
  </si>
  <si>
    <t>Grand Total Petty Cash  31 December 2021</t>
  </si>
  <si>
    <t>01 January 2022  through  31  January 2022</t>
  </si>
  <si>
    <t xml:space="preserve">Chase Bank  Balance as of 01 January 2022 </t>
  </si>
  <si>
    <t>Grand Total Chase Bank  Balance as of  31 January 2022</t>
  </si>
  <si>
    <t>01 Febuary 2022  through  28 Febuary 2022</t>
  </si>
  <si>
    <t xml:space="preserve">Chase Bank  Balance as of 01 Febuary 2022 </t>
  </si>
  <si>
    <t>Grand Total Chase Bank  Balance as of  28 Febuary 2022</t>
  </si>
  <si>
    <t>TE Connectivity Golf Outing  2022</t>
  </si>
  <si>
    <t>Interest earned July, August, Septembet 2021</t>
  </si>
  <si>
    <t>Interest earned October, November, December 2021</t>
  </si>
  <si>
    <t>Grand Total Petty Cash 28 Febuary 2022</t>
  </si>
  <si>
    <t>01 March 2022  through  31 March 2022</t>
  </si>
  <si>
    <t xml:space="preserve">Chase Bank  Balance as of 01 March 2022 </t>
  </si>
  <si>
    <t>Grand Total Chase Bank  Balance as of  31 March 2022</t>
  </si>
  <si>
    <t>SAE INTERNATIONAL 2022 2nd PMT SECTION DUES REIM</t>
  </si>
  <si>
    <t>Interest earned January, February, March 2022</t>
  </si>
  <si>
    <t>Grand Total Petty Cash 31 March 2022</t>
  </si>
  <si>
    <t>01 April 2022  through  30 April 2022</t>
  </si>
  <si>
    <t>Grand Total Chase Bank  Balance as of  30 April 2022</t>
  </si>
  <si>
    <t>Bryon Park Golf Outing</t>
  </si>
  <si>
    <t>Registered Postage to B West</t>
  </si>
  <si>
    <t>Grand Total Petty Cash  30April 2022</t>
  </si>
  <si>
    <t>West; Golf Tournament prizes</t>
  </si>
  <si>
    <t>West; Golf Tournament Closest Pin prize</t>
  </si>
  <si>
    <t>Hilton UNCC, Section Board dinner</t>
  </si>
  <si>
    <t xml:space="preserve">Chase Bank  Balance as of 01 April 2022 </t>
  </si>
  <si>
    <t>01 May 2022  through  31 May 2022</t>
  </si>
  <si>
    <t xml:space="preserve">Chase Bank  Balance as of 01 May 2022 </t>
  </si>
  <si>
    <t>Grand Total Chase Bank  Balance as of  31 May 2022</t>
  </si>
  <si>
    <t>Grand Total Petty Cash  31 May 2022</t>
  </si>
  <si>
    <t>01 June 2022  through  30 June 2022</t>
  </si>
  <si>
    <t xml:space="preserve">Chase Bank  Balance as of 01 June 2022 </t>
  </si>
  <si>
    <t>Grand Total Chase Bank  Balance as of  30 June 2022</t>
  </si>
  <si>
    <t>Grand Total Petty Cash  30 June 2022</t>
  </si>
  <si>
    <t>SAE 2022 3rd PMT SECTION DUES REIM</t>
  </si>
  <si>
    <t>Interest earned April, May, June 2022</t>
  </si>
  <si>
    <t>FY 2022 2023  Account Balance</t>
  </si>
  <si>
    <t>01 July 2022  through  31 July 2022</t>
  </si>
  <si>
    <t xml:space="preserve">Chase Bank  Balance as of 01 July 2022 </t>
  </si>
  <si>
    <t>Grand Total Petty Cash  31 July 2022</t>
  </si>
  <si>
    <t>Grand Total Chase Bank  Balance as of  31 July 2022</t>
  </si>
  <si>
    <t>01 Aug 2022  through  31 Aug 2022</t>
  </si>
  <si>
    <t xml:space="preserve">Chase Bank  Balance as of 01 August 2022 </t>
  </si>
  <si>
    <t>Grand Total Chase Bank  Balance as of  31 Aug 2022</t>
  </si>
  <si>
    <t>Grand Total Petty Cash  31 Aug 2022</t>
  </si>
  <si>
    <t>01 Sept 2022  through  30 Sept 2022</t>
  </si>
  <si>
    <t xml:space="preserve">Chase Bank  Balance as of 01 September 2022 </t>
  </si>
  <si>
    <t>Grand Total Chase Bank  Balance as of  30 Sept 2022</t>
  </si>
  <si>
    <t>Grand Total Petty Cash  30 Sept 2022</t>
  </si>
  <si>
    <t>UPS freight Section Banner re A Colon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</si>
</sst>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[$-409]General"/>
  </numFmts>
  <fonts count="2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rgb="FF0070C0"/>
      <name val="Calibri"/>
      <family val="2"/>
      <charset val="1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6" fontId="11" fillId="0" borderId="0"/>
    <xf numFmtId="0" fontId="19" fillId="0" borderId="0"/>
  </cellStyleXfs>
  <cellXfs count="45">
    <xf numFmtId="0" fontId="0" fillId="0" borderId="0" xfId="0"/>
    <xf numFmtId="4" fontId="0" fillId="0" borderId="0" xfId="0" applyNumberFormat="1"/>
    <xf numFmtId="164" fontId="0" fillId="0" borderId="0" xfId="1" applyNumberFormat="1" applyFont="1"/>
    <xf numFmtId="164" fontId="1" fillId="0" borderId="0" xfId="1" applyNumberFormat="1" applyFont="1"/>
    <xf numFmtId="0" fontId="3" fillId="0" borderId="0" xfId="0" applyFont="1"/>
    <xf numFmtId="165" fontId="4" fillId="0" borderId="0" xfId="0" applyNumberFormat="1" applyFont="1"/>
    <xf numFmtId="7" fontId="0" fillId="0" borderId="0" xfId="0" applyNumberFormat="1"/>
    <xf numFmtId="165" fontId="0" fillId="0" borderId="0" xfId="0" applyNumberFormat="1"/>
    <xf numFmtId="165" fontId="5" fillId="0" borderId="0" xfId="0" applyNumberFormat="1" applyFont="1"/>
    <xf numFmtId="165" fontId="3" fillId="0" borderId="0" xfId="0" applyNumberFormat="1" applyFont="1"/>
    <xf numFmtId="7" fontId="3" fillId="0" borderId="0" xfId="0" applyNumberFormat="1" applyFont="1"/>
    <xf numFmtId="44" fontId="0" fillId="0" borderId="0" xfId="0" applyNumberFormat="1"/>
    <xf numFmtId="0" fontId="7" fillId="0" borderId="0" xfId="0" applyFont="1"/>
    <xf numFmtId="165" fontId="7" fillId="0" borderId="0" xfId="0" applyNumberFormat="1" applyFont="1"/>
    <xf numFmtId="0" fontId="8" fillId="0" borderId="0" xfId="0" applyFont="1"/>
    <xf numFmtId="0" fontId="1" fillId="0" borderId="0" xfId="0" applyFont="1"/>
    <xf numFmtId="165" fontId="1" fillId="0" borderId="0" xfId="0" applyNumberFormat="1" applyFont="1"/>
    <xf numFmtId="4" fontId="12" fillId="0" borderId="0" xfId="0" applyNumberFormat="1" applyFont="1"/>
    <xf numFmtId="165" fontId="12" fillId="0" borderId="0" xfId="0" applyNumberFormat="1" applyFont="1"/>
    <xf numFmtId="165" fontId="1" fillId="0" borderId="0" xfId="0" applyNumberFormat="1" applyFont="1" applyAlignment="1">
      <alignment vertical="top"/>
    </xf>
    <xf numFmtId="0" fontId="13" fillId="0" borderId="0" xfId="0" applyFont="1"/>
    <xf numFmtId="165" fontId="13" fillId="0" borderId="0" xfId="0" applyNumberFormat="1" applyFont="1"/>
    <xf numFmtId="165" fontId="0" fillId="0" borderId="0" xfId="0" applyNumberFormat="1" applyAlignment="1">
      <alignment horizontal="right"/>
    </xf>
    <xf numFmtId="0" fontId="10" fillId="0" borderId="0" xfId="0" applyFont="1"/>
    <xf numFmtId="165" fontId="15" fillId="0" borderId="0" xfId="0" applyNumberFormat="1" applyFont="1"/>
    <xf numFmtId="0" fontId="16" fillId="0" borderId="0" xfId="0" applyFont="1"/>
    <xf numFmtId="16" fontId="0" fillId="0" borderId="0" xfId="0" applyNumberFormat="1"/>
    <xf numFmtId="165" fontId="8" fillId="0" borderId="0" xfId="0" applyNumberFormat="1" applyFont="1"/>
    <xf numFmtId="0" fontId="0" fillId="0" borderId="0" xfId="0" applyAlignment="1">
      <alignment horizontal="center" wrapText="1"/>
    </xf>
    <xf numFmtId="164" fontId="0" fillId="0" borderId="0" xfId="0" applyNumberFormat="1"/>
    <xf numFmtId="164" fontId="1" fillId="0" borderId="0" xfId="0" applyNumberFormat="1" applyFont="1"/>
    <xf numFmtId="42" fontId="0" fillId="0" borderId="0" xfId="0" applyNumberFormat="1"/>
    <xf numFmtId="7" fontId="1" fillId="0" borderId="0" xfId="3" applyNumberFormat="1" applyFont="1"/>
    <xf numFmtId="7" fontId="0" fillId="0" borderId="0" xfId="3" applyNumberFormat="1" applyFont="1"/>
    <xf numFmtId="43" fontId="0" fillId="0" borderId="0" xfId="0" applyNumberFormat="1"/>
    <xf numFmtId="0" fontId="20" fillId="0" borderId="0" xfId="0" applyFont="1"/>
    <xf numFmtId="165" fontId="21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66" fontId="0" fillId="0" borderId="0" xfId="2" applyFont="1"/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4">
    <cellStyle name="Currency" xfId="1" builtinId="4"/>
    <cellStyle name="Excel Built-in Normal" xfId="2" xr:uid="{00000000-0005-0000-0000-000001000000}"/>
    <cellStyle name="Normal" xfId="0" builtinId="0"/>
    <cellStyle name="Normal 2" xfId="3" xr:uid="{EE521F24-3625-493C-A404-85FF22A7B2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8.xml"/><Relationship Id="rId68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66" Type="http://schemas.openxmlformats.org/officeDocument/2006/relationships/externalLink" Target="externalLinks/externalLink11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61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65" Type="http://schemas.openxmlformats.org/officeDocument/2006/relationships/externalLink" Target="externalLinks/externalLink10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externalLink" Target="externalLinks/externalLink9.xml"/><Relationship Id="rId69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Relationship Id="rId67" Type="http://schemas.openxmlformats.org/officeDocument/2006/relationships/externalLink" Target="externalLinks/externalLink1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7.xml"/><Relationship Id="rId70" Type="http://schemas.openxmlformats.org/officeDocument/2006/relationships/externalLink" Target="externalLinks/externalLink15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'Summary and Chart'!$B$14</c:f>
              <c:strCache>
                <c:ptCount val="1"/>
                <c:pt idx="0">
                  <c:v>FY 2022 2023  Account Balance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'Summary and Chart'!$B$15:$B$26</c:f>
              <c:numCache>
                <c:formatCode>_("$"* #,##0_);_("$"* \(#,##0\);_("$"* "-"_);_(@_)</c:formatCode>
                <c:ptCount val="12"/>
                <c:pt idx="0">
                  <c:v>19546.550000000003</c:v>
                </c:pt>
                <c:pt idx="1">
                  <c:v>19546.550000000003</c:v>
                </c:pt>
                <c:pt idx="2">
                  <c:v>19546.550000000003</c:v>
                </c:pt>
                <c:pt idx="3">
                  <c:v>19515.080000000002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7-49E2-9BB6-783E8F1437DC}"/>
            </c:ext>
          </c:extLst>
        </c:ser>
        <c:ser>
          <c:idx val="4"/>
          <c:order val="1"/>
          <c:tx>
            <c:strRef>
              <c:f>'Summary and Chart'!$C$14</c:f>
              <c:strCache>
                <c:ptCount val="1"/>
                <c:pt idx="0">
                  <c:v>FY 2021 2022  Account Balance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'Summary and Chart'!$C$15:$C$26</c:f>
              <c:numCache>
                <c:formatCode>_("$"* #,##0_);_("$"* \(#,##0\);_("$"* "-"_);_(@_)</c:formatCode>
                <c:ptCount val="12"/>
                <c:pt idx="0">
                  <c:v>16798.640000000003</c:v>
                </c:pt>
                <c:pt idx="1">
                  <c:v>13798.640000000003</c:v>
                </c:pt>
                <c:pt idx="2">
                  <c:v>13798.640000000003</c:v>
                </c:pt>
                <c:pt idx="3">
                  <c:v>13798.640000000003</c:v>
                </c:pt>
                <c:pt idx="4">
                  <c:v>13798.640000000003</c:v>
                </c:pt>
                <c:pt idx="5">
                  <c:v>16770.640000000003</c:v>
                </c:pt>
                <c:pt idx="6">
                  <c:v>16770.640000000003</c:v>
                </c:pt>
                <c:pt idx="7">
                  <c:v>16770.640000000003</c:v>
                </c:pt>
                <c:pt idx="8">
                  <c:v>18195.640000000003</c:v>
                </c:pt>
                <c:pt idx="9">
                  <c:v>24386.640000000003</c:v>
                </c:pt>
                <c:pt idx="10">
                  <c:v>19133.800000000003</c:v>
                </c:pt>
                <c:pt idx="11">
                  <c:v>19133.800000000003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0-4657-B01E-6DF141E2D0AE}"/>
            </c:ext>
          </c:extLst>
        </c:ser>
        <c:ser>
          <c:idx val="1"/>
          <c:order val="2"/>
          <c:tx>
            <c:strRef>
              <c:f>'Summary and Chart'!$D$14</c:f>
              <c:strCache>
                <c:ptCount val="1"/>
                <c:pt idx="0">
                  <c:v>FY 2020 2021  Account Balance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Chart'!$D$15:$D$26</c:f>
              <c:numCache>
                <c:formatCode>_("$"* #,##0_);_("$"* \(#,##0\);_("$"* "-"??_);_(@_)</c:formatCode>
                <c:ptCount val="12"/>
                <c:pt idx="0">
                  <c:v>13364.590000000006</c:v>
                </c:pt>
                <c:pt idx="1">
                  <c:v>10364.590000000006</c:v>
                </c:pt>
                <c:pt idx="2">
                  <c:v>11559.840000000006</c:v>
                </c:pt>
                <c:pt idx="3">
                  <c:v>11559.840000000006</c:v>
                </c:pt>
                <c:pt idx="4">
                  <c:v>11559.840000000006</c:v>
                </c:pt>
                <c:pt idx="5">
                  <c:v>14491.590000000006</c:v>
                </c:pt>
                <c:pt idx="6">
                  <c:v>14491.590000000006</c:v>
                </c:pt>
                <c:pt idx="7">
                  <c:v>14531.590000000006</c:v>
                </c:pt>
                <c:pt idx="8">
                  <c:v>15576.840000000006</c:v>
                </c:pt>
                <c:pt idx="9">
                  <c:v>16851.840000000004</c:v>
                </c:pt>
                <c:pt idx="10">
                  <c:v>15969.390000000003</c:v>
                </c:pt>
                <c:pt idx="11">
                  <c:v>15969.390000000003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E-894D-AB00-0514469DC39F}"/>
            </c:ext>
          </c:extLst>
        </c:ser>
        <c:ser>
          <c:idx val="2"/>
          <c:order val="3"/>
          <c:tx>
            <c:strRef>
              <c:f>'Summary and Chart'!$E$14</c:f>
              <c:strCache>
                <c:ptCount val="1"/>
                <c:pt idx="0">
                  <c:v>FY 2019 2020 Account Balance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Chart'!$E$15:$E$26</c:f>
              <c:numCache>
                <c:formatCode>_("$"* #,##0_);_("$"* \(#,##0\);_("$"* "-"??_);_(@_)</c:formatCode>
                <c:ptCount val="12"/>
                <c:pt idx="0">
                  <c:v>22405.48</c:v>
                </c:pt>
                <c:pt idx="1">
                  <c:v>22405.48</c:v>
                </c:pt>
                <c:pt idx="2">
                  <c:v>20559.939999999999</c:v>
                </c:pt>
                <c:pt idx="3">
                  <c:v>20559.939999999999</c:v>
                </c:pt>
                <c:pt idx="4">
                  <c:v>21172.570000000003</c:v>
                </c:pt>
                <c:pt idx="5">
                  <c:v>25529.470000000005</c:v>
                </c:pt>
                <c:pt idx="6">
                  <c:v>25212.970000000005</c:v>
                </c:pt>
                <c:pt idx="7">
                  <c:v>26120.350000000006</c:v>
                </c:pt>
                <c:pt idx="8">
                  <c:v>30615.150000000005</c:v>
                </c:pt>
                <c:pt idx="9">
                  <c:v>25733.780000000006</c:v>
                </c:pt>
                <c:pt idx="10">
                  <c:v>15239.590000000006</c:v>
                </c:pt>
                <c:pt idx="11">
                  <c:v>15239.590000000006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8-42F8-9FE0-43436FE9AB01}"/>
            </c:ext>
          </c:extLst>
        </c:ser>
        <c:ser>
          <c:idx val="0"/>
          <c:order val="4"/>
          <c:tx>
            <c:strRef>
              <c:f>'Summary and Chart'!$F$14</c:f>
              <c:strCache>
                <c:ptCount val="1"/>
                <c:pt idx="0">
                  <c:v>FY 2018 2019 Account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Chart'!$F$15:$F$26</c:f>
              <c:numCache>
                <c:formatCode>_("$"* #,##0_);_("$"* \(#,##0\);_("$"* "-"??_);_(@_)</c:formatCode>
                <c:ptCount val="12"/>
                <c:pt idx="0">
                  <c:v>28478</c:v>
                </c:pt>
                <c:pt idx="1">
                  <c:v>25466.739999999998</c:v>
                </c:pt>
                <c:pt idx="2">
                  <c:v>25166.739999999998</c:v>
                </c:pt>
                <c:pt idx="3">
                  <c:v>24623.62</c:v>
                </c:pt>
                <c:pt idx="4">
                  <c:v>24623.62</c:v>
                </c:pt>
                <c:pt idx="5">
                  <c:v>29120.82</c:v>
                </c:pt>
                <c:pt idx="6">
                  <c:v>29609.82</c:v>
                </c:pt>
                <c:pt idx="7">
                  <c:v>31034.82</c:v>
                </c:pt>
                <c:pt idx="8">
                  <c:v>30260.36</c:v>
                </c:pt>
                <c:pt idx="9">
                  <c:v>26448</c:v>
                </c:pt>
                <c:pt idx="10">
                  <c:v>20562.730000000003</c:v>
                </c:pt>
                <c:pt idx="11">
                  <c:v>21087.730000000003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8-42F8-9FE0-43436FE9AB01}"/>
            </c:ext>
          </c:extLst>
        </c:ser>
        <c:ser>
          <c:idx val="3"/>
          <c:order val="5"/>
          <c:tx>
            <c:strRef>
              <c:f>'Summary and Chart'!$G$14</c:f>
              <c:strCache>
                <c:ptCount val="1"/>
                <c:pt idx="0">
                  <c:v>FY 2017 2018 Account Balance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0">
                <a:solidFill>
                  <a:schemeClr val="accent4"/>
                </a:solidFill>
              </a:ln>
              <a:effectLst/>
            </c:spPr>
          </c:marker>
          <c:cat>
            <c:strRef>
              <c:f>'Summary and Chart'!$A$15:$A$26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'Summary and Chart'!$G$15:$G$26</c:f>
              <c:numCache>
                <c:formatCode>_("$"* #,##0_);_("$"* \(#,##0\);_("$"* "-"??_);_(@_)</c:formatCode>
                <c:ptCount val="12"/>
                <c:pt idx="0">
                  <c:v>29810.1</c:v>
                </c:pt>
                <c:pt idx="1">
                  <c:v>29208</c:v>
                </c:pt>
                <c:pt idx="2">
                  <c:v>29153.439999999999</c:v>
                </c:pt>
                <c:pt idx="3">
                  <c:v>28898.15</c:v>
                </c:pt>
                <c:pt idx="4">
                  <c:v>28630.77</c:v>
                </c:pt>
                <c:pt idx="5">
                  <c:v>33478.03</c:v>
                </c:pt>
                <c:pt idx="6">
                  <c:v>32613.03</c:v>
                </c:pt>
                <c:pt idx="7">
                  <c:v>31037.84</c:v>
                </c:pt>
                <c:pt idx="8">
                  <c:v>37409.22</c:v>
                </c:pt>
                <c:pt idx="9">
                  <c:v>42030.33</c:v>
                </c:pt>
                <c:pt idx="10">
                  <c:v>27429.279999999999</c:v>
                </c:pt>
                <c:pt idx="11">
                  <c:v>27842.54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D8-4D50-B963-0769FD33C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60336"/>
        <c:axId val="104960896"/>
      </c:lineChart>
      <c:catAx>
        <c:axId val="10496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60896"/>
        <c:crosses val="autoZero"/>
        <c:auto val="1"/>
        <c:lblAlgn val="ctr"/>
        <c:lblOffset val="100"/>
        <c:noMultiLvlLbl val="0"/>
      </c:catAx>
      <c:valAx>
        <c:axId val="10496089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60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84939</xdr:colOff>
      <xdr:row>0</xdr:row>
      <xdr:rowOff>53788</xdr:rowOff>
    </xdr:from>
    <xdr:to>
      <xdr:col>8</xdr:col>
      <xdr:colOff>59765</xdr:colOff>
      <xdr:row>12</xdr:row>
      <xdr:rowOff>134470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44</xdr:row>
      <xdr:rowOff>0</xdr:rowOff>
    </xdr:from>
    <xdr:to>
      <xdr:col>18</xdr:col>
      <xdr:colOff>232915</xdr:colOff>
      <xdr:row>62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F638B6E1-4C84-480A-A78A-74CD1546563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99668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44</xdr:row>
      <xdr:rowOff>0</xdr:rowOff>
    </xdr:from>
    <xdr:to>
      <xdr:col>18</xdr:col>
      <xdr:colOff>232915</xdr:colOff>
      <xdr:row>62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A9E65365-D9FE-4C36-8A93-B79E02378636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17784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45</xdr:row>
      <xdr:rowOff>0</xdr:rowOff>
    </xdr:from>
    <xdr:to>
      <xdr:col>18</xdr:col>
      <xdr:colOff>232915</xdr:colOff>
      <xdr:row>63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16434CF-CB70-40CE-85A5-26A33F284BC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116C225-EE78-4565-A83A-63249406C617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B5A9FB52-8616-4227-AB33-2BA8F0C5A508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1785811C-1C59-4385-82A8-39BC5278D0EE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43</xdr:row>
      <xdr:rowOff>0</xdr:rowOff>
    </xdr:from>
    <xdr:to>
      <xdr:col>18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667DF201-0DE2-44B8-99EC-D9385CDD543C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540151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47</xdr:row>
      <xdr:rowOff>0</xdr:rowOff>
    </xdr:from>
    <xdr:to>
      <xdr:col>18</xdr:col>
      <xdr:colOff>232915</xdr:colOff>
      <xdr:row>65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10701304-51B2-4938-BFB8-113405DCAC21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540151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47</xdr:row>
      <xdr:rowOff>0</xdr:rowOff>
    </xdr:from>
    <xdr:to>
      <xdr:col>18</xdr:col>
      <xdr:colOff>232915</xdr:colOff>
      <xdr:row>65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E425A83-1C03-4D27-B3F5-75E3C02ED531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9083615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50</xdr:row>
      <xdr:rowOff>0</xdr:rowOff>
    </xdr:from>
    <xdr:to>
      <xdr:col>18</xdr:col>
      <xdr:colOff>232915</xdr:colOff>
      <xdr:row>68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AE1F5C74-4D34-4C53-A6FB-71EB29833D7B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721306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6D2C22BF-2ECD-402F-AEE4-9FC4EDEAA34E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48</xdr:row>
      <xdr:rowOff>0</xdr:rowOff>
    </xdr:from>
    <xdr:to>
      <xdr:col>18</xdr:col>
      <xdr:colOff>232915</xdr:colOff>
      <xdr:row>66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7B39EBF-6365-4AAD-9CCC-FD14347A97B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2DBD19A-0F08-4437-8103-8CC867620DD7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FE25EB1-FEAF-4AC4-84EC-30437CE113D9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0</xdr:rowOff>
    </xdr:from>
    <xdr:to>
      <xdr:col>18</xdr:col>
      <xdr:colOff>232915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04757F5E-FD52-4401-B01E-ECD1A8D3CB35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909758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38</xdr:row>
      <xdr:rowOff>0</xdr:rowOff>
    </xdr:from>
    <xdr:to>
      <xdr:col>18</xdr:col>
      <xdr:colOff>232915</xdr:colOff>
      <xdr:row>56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8452D5D-BFBA-4ADE-9AFD-CBC180DB32AB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0</xdr:rowOff>
    </xdr:from>
    <xdr:to>
      <xdr:col>18</xdr:col>
      <xdr:colOff>232915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0C09638-AD90-497B-BEA5-107CB2F13468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0</xdr:rowOff>
    </xdr:from>
    <xdr:to>
      <xdr:col>18</xdr:col>
      <xdr:colOff>232915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FD50DAB-2640-4E3E-A3A6-C5AECA148DA2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6728604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18</xdr:col>
      <xdr:colOff>232915</xdr:colOff>
      <xdr:row>55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F2343ABF-DE34-4601-81B7-DE16B6A4C21D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FFF6F7E-65FD-4E82-AB0B-2C325B134F0D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232915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E3672631-23D1-4C87-8B47-7055E61080C0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09091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6BE530E-5B14-40B4-8425-6DC06DE2CDC6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</xdr:row>
      <xdr:rowOff>0</xdr:rowOff>
    </xdr:from>
    <xdr:to>
      <xdr:col>18</xdr:col>
      <xdr:colOff>232915</xdr:colOff>
      <xdr:row>60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E1C43942-84EE-4B88-9281-2CB8DFD74D66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9445925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52</xdr:row>
      <xdr:rowOff>0</xdr:rowOff>
    </xdr:from>
    <xdr:to>
      <xdr:col>18</xdr:col>
      <xdr:colOff>232915</xdr:colOff>
      <xdr:row>70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130BDBA-B3D5-4392-BDBA-4B1ADC14B3E8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1415594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58</xdr:row>
      <xdr:rowOff>0</xdr:rowOff>
    </xdr:from>
    <xdr:to>
      <xdr:col>18</xdr:col>
      <xdr:colOff>232915</xdr:colOff>
      <xdr:row>76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22430A71-BEDF-40AE-9BF4-4FFC73036F10}"/>
            </a:ext>
          </a:extLst>
        </xdr:cNvPr>
        <xdr:cNvSpPr>
          <a:spLocks noChangeAspect="1" noChangeArrowheads="1"/>
        </xdr:cNvSpPr>
      </xdr:nvSpPr>
      <xdr:spPr bwMode="auto">
        <a:xfrm>
          <a:off x="14293970" y="1433710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45</xdr:row>
      <xdr:rowOff>0</xdr:rowOff>
    </xdr:from>
    <xdr:to>
      <xdr:col>24</xdr:col>
      <xdr:colOff>232915</xdr:colOff>
      <xdr:row>63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5A136B7-2C49-4BBA-ACC5-80C3602D2281}"/>
            </a:ext>
          </a:extLst>
        </xdr:cNvPr>
        <xdr:cNvSpPr>
          <a:spLocks noChangeAspect="1" noChangeArrowheads="1"/>
        </xdr:cNvSpPr>
      </xdr:nvSpPr>
      <xdr:spPr bwMode="auto">
        <a:xfrm>
          <a:off x="14224958" y="7453223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41</xdr:row>
      <xdr:rowOff>0</xdr:rowOff>
    </xdr:from>
    <xdr:to>
      <xdr:col>24</xdr:col>
      <xdr:colOff>232914</xdr:colOff>
      <xdr:row>59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EDC36E3-23F4-463E-8C9D-FEF7D92DCD56}"/>
            </a:ext>
          </a:extLst>
        </xdr:cNvPr>
        <xdr:cNvSpPr>
          <a:spLocks noChangeAspect="1" noChangeArrowheads="1"/>
        </xdr:cNvSpPr>
      </xdr:nvSpPr>
      <xdr:spPr bwMode="auto">
        <a:xfrm>
          <a:off x="14017925" y="7815532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38</xdr:row>
      <xdr:rowOff>0</xdr:rowOff>
    </xdr:from>
    <xdr:to>
      <xdr:col>24</xdr:col>
      <xdr:colOff>232914</xdr:colOff>
      <xdr:row>56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ED22D74-699D-47A3-B0C6-4D7749753AC1}"/>
            </a:ext>
          </a:extLst>
        </xdr:cNvPr>
        <xdr:cNvSpPr>
          <a:spLocks noChangeAspect="1" noChangeArrowheads="1"/>
        </xdr:cNvSpPr>
      </xdr:nvSpPr>
      <xdr:spPr bwMode="auto">
        <a:xfrm>
          <a:off x="14224958" y="799668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43</xdr:row>
      <xdr:rowOff>0</xdr:rowOff>
    </xdr:from>
    <xdr:to>
      <xdr:col>24</xdr:col>
      <xdr:colOff>232915</xdr:colOff>
      <xdr:row>61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5B90F531-6849-4D26-86C2-1C3BF9C38D34}"/>
            </a:ext>
          </a:extLst>
        </xdr:cNvPr>
        <xdr:cNvSpPr>
          <a:spLocks noChangeAspect="1" noChangeArrowheads="1"/>
        </xdr:cNvSpPr>
      </xdr:nvSpPr>
      <xdr:spPr bwMode="auto">
        <a:xfrm>
          <a:off x="14017925" y="763437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40</xdr:row>
      <xdr:rowOff>0</xdr:rowOff>
    </xdr:from>
    <xdr:to>
      <xdr:col>24</xdr:col>
      <xdr:colOff>232915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03C8DBA-C71D-435C-9B12-F3A21B438912}"/>
            </a:ext>
          </a:extLst>
        </xdr:cNvPr>
        <xdr:cNvSpPr>
          <a:spLocks noChangeAspect="1" noChangeArrowheads="1"/>
        </xdr:cNvSpPr>
      </xdr:nvSpPr>
      <xdr:spPr bwMode="auto">
        <a:xfrm>
          <a:off x="13871275" y="6547449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36</xdr:row>
      <xdr:rowOff>0</xdr:rowOff>
    </xdr:from>
    <xdr:to>
      <xdr:col>24</xdr:col>
      <xdr:colOff>232914</xdr:colOff>
      <xdr:row>54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B93E900-D5F3-4D29-8D7C-AE29E04CD21E}"/>
            </a:ext>
          </a:extLst>
        </xdr:cNvPr>
        <xdr:cNvSpPr>
          <a:spLocks noChangeAspect="1" noChangeArrowheads="1"/>
        </xdr:cNvSpPr>
      </xdr:nvSpPr>
      <xdr:spPr bwMode="auto">
        <a:xfrm>
          <a:off x="13940287" y="9135374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50</xdr:row>
      <xdr:rowOff>0</xdr:rowOff>
    </xdr:from>
    <xdr:to>
      <xdr:col>24</xdr:col>
      <xdr:colOff>232914</xdr:colOff>
      <xdr:row>68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55CEDE58-3E83-4A18-87FE-3F4D44253E9A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39</xdr:row>
      <xdr:rowOff>0</xdr:rowOff>
    </xdr:from>
    <xdr:to>
      <xdr:col>18</xdr:col>
      <xdr:colOff>120771</xdr:colOff>
      <xdr:row>57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DA539135-1C6F-4E62-86CF-C31F9837CD57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414953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41</xdr:row>
      <xdr:rowOff>0</xdr:rowOff>
    </xdr:from>
    <xdr:to>
      <xdr:col>24</xdr:col>
      <xdr:colOff>232913</xdr:colOff>
      <xdr:row>59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329519F-3EEC-4402-B73A-8E79FE17A594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41</xdr:row>
      <xdr:rowOff>0</xdr:rowOff>
    </xdr:from>
    <xdr:to>
      <xdr:col>24</xdr:col>
      <xdr:colOff>232913</xdr:colOff>
      <xdr:row>59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477436C-90A5-4616-8828-74D51A39E05B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8436634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46</xdr:row>
      <xdr:rowOff>0</xdr:rowOff>
    </xdr:from>
    <xdr:to>
      <xdr:col>24</xdr:col>
      <xdr:colOff>232913</xdr:colOff>
      <xdr:row>64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E8859A82-B9ED-402E-807C-C3E6ADC76227}"/>
            </a:ext>
          </a:extLst>
        </xdr:cNvPr>
        <xdr:cNvSpPr>
          <a:spLocks noChangeAspect="1" noChangeArrowheads="1"/>
        </xdr:cNvSpPr>
      </xdr:nvSpPr>
      <xdr:spPr bwMode="auto">
        <a:xfrm>
          <a:off x="13474460" y="10412083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56</xdr:row>
      <xdr:rowOff>0</xdr:rowOff>
    </xdr:from>
    <xdr:to>
      <xdr:col>24</xdr:col>
      <xdr:colOff>232913</xdr:colOff>
      <xdr:row>74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B5FB949-8AEE-40B8-8277-BBB5DBF539B4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11697419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64</xdr:row>
      <xdr:rowOff>0</xdr:rowOff>
    </xdr:from>
    <xdr:to>
      <xdr:col>24</xdr:col>
      <xdr:colOff>232913</xdr:colOff>
      <xdr:row>82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98EEED6E-0B1A-4C2B-A150-88B18C7FBED7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10015268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45</xdr:row>
      <xdr:rowOff>0</xdr:rowOff>
    </xdr:from>
    <xdr:to>
      <xdr:col>24</xdr:col>
      <xdr:colOff>232913</xdr:colOff>
      <xdr:row>63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8DF0CE6A-FDBE-4660-B2BC-55689E8DBD08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7116792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38</xdr:row>
      <xdr:rowOff>0</xdr:rowOff>
    </xdr:from>
    <xdr:to>
      <xdr:col>24</xdr:col>
      <xdr:colOff>232913</xdr:colOff>
      <xdr:row>56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0585498-575F-4D6B-AC19-73B416B96C1A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6935638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37</xdr:row>
      <xdr:rowOff>0</xdr:rowOff>
    </xdr:from>
    <xdr:to>
      <xdr:col>24</xdr:col>
      <xdr:colOff>232913</xdr:colOff>
      <xdr:row>55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3F1B87DF-44FA-4D40-AAA1-9AF8C1796DED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7297947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39</xdr:row>
      <xdr:rowOff>0</xdr:rowOff>
    </xdr:from>
    <xdr:to>
      <xdr:col>24</xdr:col>
      <xdr:colOff>232913</xdr:colOff>
      <xdr:row>57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B6D54BDC-1B28-4A04-A886-F000263FC21A}"/>
            </a:ext>
          </a:extLst>
        </xdr:cNvPr>
        <xdr:cNvSpPr>
          <a:spLocks noChangeAspect="1" noChangeArrowheads="1"/>
        </xdr:cNvSpPr>
      </xdr:nvSpPr>
      <xdr:spPr bwMode="auto">
        <a:xfrm>
          <a:off x="13370943" y="7297947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40</xdr:row>
      <xdr:rowOff>0</xdr:rowOff>
    </xdr:from>
    <xdr:to>
      <xdr:col>24</xdr:col>
      <xdr:colOff>232913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677A8B9E-5368-47EB-9310-4F19421CD9D6}"/>
            </a:ext>
          </a:extLst>
        </xdr:cNvPr>
        <xdr:cNvSpPr>
          <a:spLocks noChangeAspect="1" noChangeArrowheads="1"/>
        </xdr:cNvSpPr>
      </xdr:nvSpPr>
      <xdr:spPr bwMode="auto">
        <a:xfrm>
          <a:off x="13198415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</xdr:row>
      <xdr:rowOff>0</xdr:rowOff>
    </xdr:from>
    <xdr:to>
      <xdr:col>18</xdr:col>
      <xdr:colOff>120771</xdr:colOff>
      <xdr:row>60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A379CDD3-F6C7-476C-95EA-90B1CC201716}"/>
            </a:ext>
          </a:extLst>
        </xdr:cNvPr>
        <xdr:cNvSpPr>
          <a:spLocks noChangeAspect="1" noChangeArrowheads="1"/>
        </xdr:cNvSpPr>
      </xdr:nvSpPr>
      <xdr:spPr bwMode="auto">
        <a:xfrm>
          <a:off x="10997738" y="7606145"/>
          <a:ext cx="3562240" cy="351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45</xdr:row>
      <xdr:rowOff>0</xdr:rowOff>
    </xdr:from>
    <xdr:to>
      <xdr:col>24</xdr:col>
      <xdr:colOff>232913</xdr:colOff>
      <xdr:row>63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D6B55996-473A-469E-B41F-902AC819747B}"/>
            </a:ext>
          </a:extLst>
        </xdr:cNvPr>
        <xdr:cNvSpPr>
          <a:spLocks noChangeAspect="1" noChangeArrowheads="1"/>
        </xdr:cNvSpPr>
      </xdr:nvSpPr>
      <xdr:spPr bwMode="auto">
        <a:xfrm>
          <a:off x="13198415" y="8410755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40</xdr:row>
      <xdr:rowOff>0</xdr:rowOff>
    </xdr:from>
    <xdr:to>
      <xdr:col>24</xdr:col>
      <xdr:colOff>232913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D0FA2B77-0F0C-4DD5-8C50-733E8809DA36}"/>
            </a:ext>
          </a:extLst>
        </xdr:cNvPr>
        <xdr:cNvSpPr>
          <a:spLocks noChangeAspect="1" noChangeArrowheads="1"/>
        </xdr:cNvSpPr>
      </xdr:nvSpPr>
      <xdr:spPr bwMode="auto">
        <a:xfrm>
          <a:off x="13060392" y="750498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42</xdr:row>
      <xdr:rowOff>0</xdr:rowOff>
    </xdr:from>
    <xdr:to>
      <xdr:col>24</xdr:col>
      <xdr:colOff>232913</xdr:colOff>
      <xdr:row>60</xdr:row>
      <xdr:rowOff>77639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C20A3415-1708-4977-80BF-58980A2351D7}"/>
            </a:ext>
          </a:extLst>
        </xdr:cNvPr>
        <xdr:cNvSpPr>
          <a:spLocks noChangeAspect="1" noChangeArrowheads="1"/>
        </xdr:cNvSpPr>
      </xdr:nvSpPr>
      <xdr:spPr bwMode="auto">
        <a:xfrm>
          <a:off x="13060392" y="7867291"/>
          <a:ext cx="3338423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40</xdr:row>
      <xdr:rowOff>0</xdr:rowOff>
    </xdr:from>
    <xdr:to>
      <xdr:col>18</xdr:col>
      <xdr:colOff>120771</xdr:colOff>
      <xdr:row>58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4FED07F6-A0D5-4200-8BD5-E3E3A0955ACB}"/>
            </a:ext>
          </a:extLst>
        </xdr:cNvPr>
        <xdr:cNvSpPr>
          <a:spLocks noChangeAspect="1" noChangeArrowheads="1"/>
        </xdr:cNvSpPr>
      </xdr:nvSpPr>
      <xdr:spPr bwMode="auto">
        <a:xfrm>
          <a:off x="10144664" y="8902460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49</xdr:row>
      <xdr:rowOff>0</xdr:rowOff>
    </xdr:from>
    <xdr:to>
      <xdr:col>18</xdr:col>
      <xdr:colOff>120771</xdr:colOff>
      <xdr:row>67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1A355EAD-A2B7-4E17-ADC2-F08B075416E9}"/>
            </a:ext>
          </a:extLst>
        </xdr:cNvPr>
        <xdr:cNvSpPr>
          <a:spLocks noChangeAspect="1" noChangeArrowheads="1"/>
        </xdr:cNvSpPr>
      </xdr:nvSpPr>
      <xdr:spPr bwMode="auto">
        <a:xfrm>
          <a:off x="10144664" y="8902460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55</xdr:row>
      <xdr:rowOff>0</xdr:rowOff>
    </xdr:from>
    <xdr:to>
      <xdr:col>18</xdr:col>
      <xdr:colOff>232914</xdr:colOff>
      <xdr:row>73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59A1C160-5DDA-48FB-BE2D-843B917A87DB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8358996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46</xdr:row>
      <xdr:rowOff>0</xdr:rowOff>
    </xdr:from>
    <xdr:to>
      <xdr:col>18</xdr:col>
      <xdr:colOff>232915</xdr:colOff>
      <xdr:row>64</xdr:row>
      <xdr:rowOff>77638</xdr:rowOff>
    </xdr:to>
    <xdr:sp macro="" textlink="">
      <xdr:nvSpPr>
        <xdr:cNvPr id="2" name="AutoShape 3" descr="https://smallbusinessonline.bbt.com/olbsys/bbtolbext/check/image/img?image=image1&amp;frontOrBackImage=FRONT&amp;randId=04422">
          <a:extLst>
            <a:ext uri="{FF2B5EF4-FFF2-40B4-BE49-F238E27FC236}">
              <a16:creationId xmlns:a16="http://schemas.microsoft.com/office/drawing/2014/main" id="{7D4FB5F7-681A-4609-B9AD-7B4D6088B356}"/>
            </a:ext>
          </a:extLst>
        </xdr:cNvPr>
        <xdr:cNvSpPr>
          <a:spLocks noChangeAspect="1" noChangeArrowheads="1"/>
        </xdr:cNvSpPr>
      </xdr:nvSpPr>
      <xdr:spPr bwMode="auto">
        <a:xfrm>
          <a:off x="10032521" y="7996687"/>
          <a:ext cx="3295292" cy="333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SAE%20National/SMMIP%20Quarterly%20Report%20%20June%202022%20Doris%20Thomps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SMMIP%20May%202021%20caroli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MMIP%2030%20Oct%202020%20Copy%20of%20carolina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Feb%202021%20Dues%20reimbursemen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ACH%20remittance%20Jan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Nov%202020%20Dues%20reimbursemen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19-2020/ACH%20remittane%20%2013%20Feb%202020%201st%20paymen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2-2023/National/ACH_Remittance(3)%20%20July%202022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SAE%20National/SMMIP%2011%20April%202022%20carolina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Golf%202022/Golf%20Outing%202022%20financials%20%20mze%2021%20April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Golf%202022/Golf%20Outing%202022%20financials%20%20mze%2022%20march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wnloads/ACH_Remittance(2).csv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AppData/Local/Temp/carolin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1-2022/SAE%20National/June%202021%20ACH_Remittance(1).csv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SAE%20hold/2020-2021/SAE%20National/Copy%20of%20carolina%20%20SMMIP%20Quarterly%20Report%20%20April%2020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-2022"/>
    </sheetNames>
    <sheetDataSet>
      <sheetData sheetId="0">
        <row r="43">
          <cell r="G43">
            <v>8.7200000000000006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21"/>
    </sheetNames>
    <sheetDataSet>
      <sheetData sheetId="0">
        <row r="43">
          <cell r="G43">
            <v>5.78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2020"/>
      <sheetName val="JUN 2020"/>
    </sheetNames>
    <sheetDataSet>
      <sheetData sheetId="0">
        <row r="43">
          <cell r="G43">
            <v>8.64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H_Remittance"/>
    </sheetNames>
    <sheetDataSet>
      <sheetData sheetId="0">
        <row r="2">
          <cell r="L2">
            <v>1045.25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H_Remittance"/>
    </sheetNames>
    <sheetDataSet>
      <sheetData sheetId="0">
        <row r="2">
          <cell r="G2">
            <v>40</v>
          </cell>
          <cell r="J2" t="str">
            <v>Section Recruitment Rebate 202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H_Remittance"/>
    </sheetNames>
    <sheetDataSet>
      <sheetData sheetId="0">
        <row r="2">
          <cell r="L2">
            <v>2931.75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H_Remittance"/>
    </sheetNames>
    <sheetDataSet>
      <sheetData sheetId="0">
        <row r="2">
          <cell r="N2">
            <v>1067.75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H_Remittance(3)  July 2022"/>
    </sheetNames>
    <sheetDataSet>
      <sheetData sheetId="0">
        <row r="2">
          <cell r="G2">
            <v>412.75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2022"/>
    </sheetNames>
    <sheetDataSet>
      <sheetData sheetId="0">
        <row r="43">
          <cell r="G43">
            <v>8.6999999999999993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f 2022 (3)"/>
      <sheetName val="Golf 2022 (2)"/>
      <sheetName val="Golf 2022"/>
      <sheetName val="Golf 2021 Financial final"/>
      <sheetName val="Golf 2021 Financial"/>
      <sheetName val="Barry sheet update "/>
      <sheetName val="Sheet1"/>
      <sheetName val="Sheet2"/>
      <sheetName val="Sheet3"/>
    </sheetNames>
    <sheetDataSet>
      <sheetData sheetId="0">
        <row r="18">
          <cell r="C18" t="str">
            <v>Mark Shelton Golf Outing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f 2022 (3)"/>
      <sheetName val="Golf 2022 (2)"/>
      <sheetName val="Golf 2022"/>
      <sheetName val="Golf 2021 Financial final"/>
      <sheetName val="Golf 2021 Financial"/>
      <sheetName val="Barry sheet update "/>
      <sheetName val="Sheet1"/>
      <sheetName val="Sheet2"/>
      <sheetName val="Sheet3"/>
    </sheetNames>
    <sheetDataSet>
      <sheetData sheetId="0">
        <row r="9">
          <cell r="C9" t="str">
            <v>West, Barry  Golf Outing 2022</v>
          </cell>
        </row>
        <row r="10">
          <cell r="C10" t="str">
            <v>Aaron D Huber Golf Outing 2022</v>
          </cell>
        </row>
        <row r="11">
          <cell r="C11" t="str">
            <v>Davco Golf Outing 2022</v>
          </cell>
        </row>
        <row r="12">
          <cell r="C12" t="str">
            <v>MMI Golf Outing 2022</v>
          </cell>
        </row>
        <row r="13">
          <cell r="C13" t="str">
            <v>Link Manufacturing Golf Outing 2022</v>
          </cell>
        </row>
        <row r="14">
          <cell r="C14" t="str">
            <v>TTI Inc. Golf Outing 2022</v>
          </cell>
        </row>
        <row r="15">
          <cell r="C15" t="str">
            <v>Dan Hambey Golf Outing 2022</v>
          </cell>
        </row>
        <row r="16">
          <cell r="C16" t="str">
            <v>Kevin Sherrill Golf Outing 2022</v>
          </cell>
        </row>
        <row r="17">
          <cell r="C17" t="str">
            <v>David Lee Golf Outing 2022</v>
          </cell>
        </row>
      </sheetData>
      <sheetData sheetId="1">
        <row r="9">
          <cell r="I9">
            <v>475</v>
          </cell>
        </row>
        <row r="10">
          <cell r="I10">
            <v>475</v>
          </cell>
        </row>
        <row r="11">
          <cell r="I11">
            <v>475</v>
          </cell>
        </row>
        <row r="12">
          <cell r="I12">
            <v>475</v>
          </cell>
        </row>
        <row r="13">
          <cell r="I13">
            <v>475</v>
          </cell>
        </row>
        <row r="14">
          <cell r="I14">
            <v>475</v>
          </cell>
        </row>
        <row r="15">
          <cell r="I15">
            <v>475</v>
          </cell>
        </row>
        <row r="16">
          <cell r="I16">
            <v>1425</v>
          </cell>
        </row>
        <row r="17">
          <cell r="I17">
            <v>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H_Remittance(2)"/>
    </sheetNames>
    <sheetDataSet>
      <sheetData sheetId="0">
        <row r="2">
          <cell r="G2">
            <v>1371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 2021"/>
    </sheetNames>
    <sheetDataSet>
      <sheetData sheetId="0">
        <row r="41">
          <cell r="F41">
            <v>2.89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21 ACH_Remittance(1)"/>
    </sheetNames>
    <sheetDataSet>
      <sheetData sheetId="0">
        <row r="2">
          <cell r="G2">
            <v>829.25</v>
          </cell>
          <cell r="J2" t="str">
            <v>2021 3RD PMT SECTION DUES REIM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2021"/>
      <sheetName val="DEC 2020"/>
    </sheetNames>
    <sheetDataSet>
      <sheetData sheetId="0">
        <row r="43">
          <cell r="G43">
            <v>8.67</v>
          </cell>
        </row>
      </sheetData>
      <sheetData sheetId="1">
        <row r="43">
          <cell r="G43">
            <v>8.65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G26"/>
  <sheetViews>
    <sheetView zoomScaleNormal="100" workbookViewId="0">
      <selection activeCell="E34" sqref="E34"/>
    </sheetView>
  </sheetViews>
  <sheetFormatPr defaultColWidth="8.88671875" defaultRowHeight="15.05"/>
  <cols>
    <col min="2" max="2" width="15" customWidth="1"/>
    <col min="3" max="3" width="15.21875" customWidth="1"/>
    <col min="4" max="4" width="15.109375" customWidth="1"/>
    <col min="5" max="5" width="15.77734375" customWidth="1"/>
    <col min="6" max="6" width="15.21875" customWidth="1"/>
    <col min="7" max="7" width="16.88671875" customWidth="1"/>
  </cols>
  <sheetData>
    <row r="14" spans="1:7" ht="30.15">
      <c r="B14" s="28" t="s">
        <v>350</v>
      </c>
      <c r="C14" s="28" t="s">
        <v>288</v>
      </c>
      <c r="D14" s="28" t="s">
        <v>242</v>
      </c>
      <c r="E14" s="28" t="s">
        <v>245</v>
      </c>
      <c r="F14" s="28" t="s">
        <v>244</v>
      </c>
      <c r="G14" s="28" t="s">
        <v>243</v>
      </c>
    </row>
    <row r="15" spans="1:7">
      <c r="A15" t="s">
        <v>0</v>
      </c>
      <c r="B15" s="31">
        <f>'2022 June '!$J$21</f>
        <v>19546.550000000003</v>
      </c>
      <c r="C15" s="31">
        <f>'2021 June'!$J$22</f>
        <v>16798.640000000003</v>
      </c>
      <c r="D15" s="29">
        <f>'2020 June'!$J$22</f>
        <v>13364.590000000006</v>
      </c>
      <c r="E15" s="29">
        <v>22405.48</v>
      </c>
      <c r="F15" s="2">
        <v>28478</v>
      </c>
      <c r="G15" s="2">
        <v>29810.1</v>
      </c>
    </row>
    <row r="16" spans="1:7">
      <c r="A16" t="s">
        <v>1</v>
      </c>
      <c r="B16" s="31">
        <f>'2022 July'!$J$18</f>
        <v>19546.550000000003</v>
      </c>
      <c r="C16" s="31">
        <f>'2021 July'!$J$22</f>
        <v>13798.640000000003</v>
      </c>
      <c r="D16" s="29">
        <f>'2020 July'!$J$22</f>
        <v>10364.590000000006</v>
      </c>
      <c r="E16" s="29">
        <v>22405.48</v>
      </c>
      <c r="F16" s="2">
        <v>25466.739999999998</v>
      </c>
      <c r="G16" s="3">
        <v>29208</v>
      </c>
    </row>
    <row r="17" spans="1:7">
      <c r="A17" t="s">
        <v>2</v>
      </c>
      <c r="B17" s="31">
        <f>'2022 Aug'!$J$18</f>
        <v>19546.550000000003</v>
      </c>
      <c r="C17" s="31">
        <f>'2021 Aug'!$J$22</f>
        <v>13798.640000000003</v>
      </c>
      <c r="D17" s="29">
        <f>'2020 Aug'!$J$20</f>
        <v>11559.840000000006</v>
      </c>
      <c r="E17" s="29">
        <v>20559.939999999999</v>
      </c>
      <c r="F17" s="2">
        <v>25166.739999999998</v>
      </c>
      <c r="G17" s="2">
        <v>29153.439999999999</v>
      </c>
    </row>
    <row r="18" spans="1:7">
      <c r="A18" t="s">
        <v>3</v>
      </c>
      <c r="B18" s="31">
        <f>'2022 Sept'!$J$18</f>
        <v>19515.080000000002</v>
      </c>
      <c r="C18" s="31">
        <f>'2021 Sept'!$J$22</f>
        <v>13798.640000000003</v>
      </c>
      <c r="D18" s="29">
        <f>'2020 Sept'!$J$19</f>
        <v>11559.840000000006</v>
      </c>
      <c r="E18" s="29">
        <v>20559.939999999999</v>
      </c>
      <c r="F18" s="2">
        <v>24623.62</v>
      </c>
      <c r="G18" s="2">
        <v>28898.15</v>
      </c>
    </row>
    <row r="19" spans="1:7">
      <c r="A19" t="s">
        <v>4</v>
      </c>
      <c r="C19" s="31">
        <f>'2021 Oct'!$J$22</f>
        <v>13798.640000000003</v>
      </c>
      <c r="D19" s="29">
        <f>'2020 Oct '!$J$19</f>
        <v>11559.840000000006</v>
      </c>
      <c r="E19" s="29">
        <f>'2019 Oct '!$J$26</f>
        <v>21172.570000000003</v>
      </c>
      <c r="F19" s="2">
        <v>24623.62</v>
      </c>
      <c r="G19" s="2">
        <v>28630.77</v>
      </c>
    </row>
    <row r="20" spans="1:7">
      <c r="A20" t="s">
        <v>5</v>
      </c>
      <c r="C20" s="31">
        <f>'2021 Nov'!$J$24</f>
        <v>16770.640000000003</v>
      </c>
      <c r="D20" s="29">
        <f>'2020 Nov '!$J$21</f>
        <v>14491.590000000006</v>
      </c>
      <c r="E20" s="29">
        <f>'2019 Nov '!$J$25</f>
        <v>25529.470000000005</v>
      </c>
      <c r="F20" s="2">
        <v>29120.82</v>
      </c>
      <c r="G20" s="2">
        <v>33478.03</v>
      </c>
    </row>
    <row r="21" spans="1:7">
      <c r="A21" t="s">
        <v>6</v>
      </c>
      <c r="C21" s="31">
        <f>'2021 Dec'!$J$23</f>
        <v>16770.640000000003</v>
      </c>
      <c r="D21" s="29">
        <f>'2020 Dec'!$J$19</f>
        <v>14491.590000000006</v>
      </c>
      <c r="E21" s="29">
        <f>'2019 Dec'!$J$20</f>
        <v>25212.970000000005</v>
      </c>
      <c r="F21" s="2">
        <v>29609.82</v>
      </c>
      <c r="G21" s="2">
        <v>32613.03</v>
      </c>
    </row>
    <row r="22" spans="1:7">
      <c r="A22" t="s">
        <v>7</v>
      </c>
      <c r="C22" s="31">
        <f>'2022 Jan'!$J$23</f>
        <v>16770.640000000003</v>
      </c>
      <c r="D22" s="29">
        <f>'2021 Jan'!$J$22</f>
        <v>14531.590000000006</v>
      </c>
      <c r="E22" s="29">
        <f>'2020 Jan'!$J$23</f>
        <v>26120.350000000006</v>
      </c>
      <c r="F22" s="2">
        <v>31034.82</v>
      </c>
      <c r="G22" s="2">
        <v>31037.84</v>
      </c>
    </row>
    <row r="23" spans="1:7">
      <c r="A23" t="s">
        <v>8</v>
      </c>
      <c r="C23" s="31">
        <f>'2022 Feb'!$J$23</f>
        <v>18195.640000000003</v>
      </c>
      <c r="D23" s="29">
        <f>'2021 Feb'!$J$22</f>
        <v>15576.840000000006</v>
      </c>
      <c r="E23" s="30">
        <f>'2020 Feb'!$J$27</f>
        <v>30615.150000000005</v>
      </c>
      <c r="F23" s="2">
        <v>30260.36</v>
      </c>
      <c r="G23" s="2">
        <v>37409.22</v>
      </c>
    </row>
    <row r="24" spans="1:7">
      <c r="A24" t="s">
        <v>9</v>
      </c>
      <c r="C24" s="31">
        <f>'2022 Mar'!$J$33</f>
        <v>24386.640000000003</v>
      </c>
      <c r="D24" s="29">
        <f>'2021 March'!$J$25</f>
        <v>16851.840000000004</v>
      </c>
      <c r="E24" s="30">
        <f>'2020 March '!$J$36</f>
        <v>25733.780000000006</v>
      </c>
      <c r="F24" s="2">
        <v>26448</v>
      </c>
      <c r="G24" s="2">
        <v>42030.33</v>
      </c>
    </row>
    <row r="25" spans="1:7">
      <c r="A25" t="s">
        <v>10</v>
      </c>
      <c r="C25" s="31">
        <f>'2022 Apr'!$J$26</f>
        <v>19133.800000000003</v>
      </c>
      <c r="D25" s="29">
        <f>'2021 April'!$J$26</f>
        <v>15969.390000000003</v>
      </c>
      <c r="E25" s="29">
        <f>'2020 April '!$J$30</f>
        <v>15239.590000000006</v>
      </c>
      <c r="F25" s="2">
        <v>20562.730000000003</v>
      </c>
      <c r="G25" s="2">
        <v>27429.279999999999</v>
      </c>
    </row>
    <row r="26" spans="1:7">
      <c r="A26" t="s">
        <v>11</v>
      </c>
      <c r="C26" s="31">
        <f>'2022  May'!$J$19</f>
        <v>19133.800000000003</v>
      </c>
      <c r="D26" s="29">
        <f>'2021 May'!$J$22</f>
        <v>15969.390000000003</v>
      </c>
      <c r="E26" s="29">
        <f>'2020 April '!$J$30</f>
        <v>15239.590000000006</v>
      </c>
      <c r="F26" s="2">
        <v>21087.730000000003</v>
      </c>
      <c r="G26" s="2">
        <v>27842.54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54F6-3284-4CBD-B859-A2200A4F9A56}">
  <sheetPr>
    <pageSetUpPr fitToPage="1"/>
  </sheetPr>
  <dimension ref="C4:N54"/>
  <sheetViews>
    <sheetView zoomScaleNormal="100" workbookViewId="0">
      <selection activeCell="J30" sqref="J30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315</v>
      </c>
      <c r="D6" s="37"/>
      <c r="E6" s="37"/>
      <c r="F6" s="37"/>
      <c r="G6" s="37"/>
      <c r="H6" s="37"/>
      <c r="I6" s="37"/>
      <c r="J6" s="37"/>
    </row>
    <row r="9" spans="3:12">
      <c r="C9" s="4" t="s">
        <v>316</v>
      </c>
      <c r="J9" s="10">
        <f>'2021 Nov'!$J$24</f>
        <v>16770.640000000003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H13" s="7"/>
      <c r="J13" s="6"/>
    </row>
    <row r="14" spans="3:12">
      <c r="H14" s="7">
        <v>0</v>
      </c>
      <c r="J14" s="6"/>
    </row>
    <row r="15" spans="3:12">
      <c r="D15" s="23"/>
      <c r="G15" s="23"/>
      <c r="H15" s="7"/>
      <c r="J15" s="6"/>
      <c r="L15" s="26"/>
    </row>
    <row r="16" spans="3:12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/>
      <c r="J18" s="6"/>
      <c r="K18" t="s">
        <v>105</v>
      </c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1" spans="3:14">
      <c r="H21" s="7"/>
      <c r="J21" s="6"/>
      <c r="L21" s="26"/>
    </row>
    <row r="23" spans="3:14" ht="17.05">
      <c r="C23" s="20" t="s">
        <v>317</v>
      </c>
      <c r="D23" s="4"/>
      <c r="E23" s="4"/>
      <c r="F23" s="4"/>
      <c r="G23" s="4"/>
      <c r="H23" s="4"/>
      <c r="I23" s="9"/>
      <c r="J23" s="5">
        <f>(J9+H14+H14+H19)</f>
        <v>16770.640000000003</v>
      </c>
    </row>
    <row r="25" spans="3:14">
      <c r="C25" s="4"/>
    </row>
    <row r="26" spans="3:14">
      <c r="C26" s="4" t="s">
        <v>18</v>
      </c>
      <c r="J26" s="9">
        <f>'2021 June'!$J$33</f>
        <v>6942.9799999999987</v>
      </c>
    </row>
    <row r="27" spans="3:14">
      <c r="C27" s="4"/>
      <c r="J27" s="9"/>
    </row>
    <row r="28" spans="3:14">
      <c r="C28" t="s">
        <v>294</v>
      </c>
      <c r="J28" s="32">
        <f>'[7]JUN 2021'!$F$41</f>
        <v>2.89</v>
      </c>
      <c r="N28" t="s">
        <v>105</v>
      </c>
    </row>
    <row r="29" spans="3:14">
      <c r="J29" s="7"/>
    </row>
    <row r="30" spans="3:14">
      <c r="C30" s="4" t="s">
        <v>49</v>
      </c>
      <c r="J30" s="24">
        <f>(J26+J28)</f>
        <v>6945.869999999999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'2021 April'!$J$42</f>
        <v>23.260000000000005</v>
      </c>
    </row>
    <row r="34" spans="3:10">
      <c r="J34" s="1"/>
    </row>
    <row r="35" spans="3:10">
      <c r="J35" s="1"/>
    </row>
    <row r="36" spans="3:10">
      <c r="C36" s="20" t="s">
        <v>314</v>
      </c>
      <c r="J36" s="9">
        <f>'2021 April'!$J$42</f>
        <v>23.260000000000005</v>
      </c>
    </row>
    <row r="37" spans="3:10">
      <c r="C37" s="20"/>
      <c r="J37" s="1"/>
    </row>
    <row r="38" spans="3:10">
      <c r="C38" s="20"/>
      <c r="J38" s="1"/>
    </row>
    <row r="39" spans="3:10">
      <c r="C39" s="20"/>
      <c r="J39" s="1"/>
    </row>
    <row r="40" spans="3:10">
      <c r="J40" s="1"/>
    </row>
    <row r="41" spans="3:10">
      <c r="C41" t="s">
        <v>20</v>
      </c>
    </row>
    <row r="54" spans="8:8">
      <c r="H54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A8712-1058-4A3D-8E32-7DDF755D03AC}">
  <sheetPr>
    <pageSetUpPr fitToPage="1"/>
  </sheetPr>
  <dimension ref="C4:N54"/>
  <sheetViews>
    <sheetView topLeftCell="A22" zoomScaleNormal="100" workbookViewId="0">
      <selection activeCell="C36" sqref="C3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310</v>
      </c>
      <c r="D6" s="37"/>
      <c r="E6" s="37"/>
      <c r="F6" s="37"/>
      <c r="G6" s="37"/>
      <c r="H6" s="37"/>
      <c r="I6" s="37"/>
      <c r="J6" s="37"/>
    </row>
    <row r="9" spans="3:12">
      <c r="C9" s="4" t="s">
        <v>311</v>
      </c>
      <c r="J9" s="10">
        <f>'2021 Nov'!$J$24</f>
        <v>16770.640000000003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H13" s="7"/>
      <c r="J13" s="6"/>
    </row>
    <row r="14" spans="3:12">
      <c r="H14" s="7">
        <v>0</v>
      </c>
      <c r="J14" s="6"/>
    </row>
    <row r="15" spans="3:12">
      <c r="D15" s="23"/>
      <c r="G15" s="23"/>
      <c r="H15" s="7"/>
      <c r="J15" s="6"/>
      <c r="L15" s="26"/>
    </row>
    <row r="16" spans="3:12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/>
      <c r="J18" s="6"/>
      <c r="K18" t="s">
        <v>105</v>
      </c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1" spans="3:14">
      <c r="H21" s="7"/>
      <c r="J21" s="6"/>
      <c r="L21" s="26"/>
    </row>
    <row r="23" spans="3:14" ht="17.05">
      <c r="C23" s="20" t="s">
        <v>312</v>
      </c>
      <c r="D23" s="4"/>
      <c r="E23" s="4"/>
      <c r="F23" s="4"/>
      <c r="G23" s="4"/>
      <c r="H23" s="4"/>
      <c r="I23" s="9"/>
      <c r="J23" s="5">
        <f>(J9+H14+H14+H19)</f>
        <v>16770.640000000003</v>
      </c>
    </row>
    <row r="25" spans="3:14">
      <c r="C25" s="4"/>
    </row>
    <row r="26" spans="3:14">
      <c r="C26" s="4" t="s">
        <v>18</v>
      </c>
      <c r="J26" s="9">
        <f>'2021 June'!$J$33</f>
        <v>6942.9799999999987</v>
      </c>
    </row>
    <row r="27" spans="3:14">
      <c r="C27" s="4"/>
      <c r="J27" s="9"/>
    </row>
    <row r="28" spans="3:14">
      <c r="C28" t="s">
        <v>294</v>
      </c>
      <c r="J28" s="32">
        <f>'[7]JUN 2021'!$F$41</f>
        <v>2.89</v>
      </c>
      <c r="N28" t="s">
        <v>105</v>
      </c>
    </row>
    <row r="29" spans="3:14">
      <c r="J29" s="7"/>
    </row>
    <row r="30" spans="3:14">
      <c r="C30" s="4" t="s">
        <v>49</v>
      </c>
      <c r="J30" s="24">
        <f>(J26+J28)</f>
        <v>6945.869999999999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'2021 April'!$J$42</f>
        <v>23.260000000000005</v>
      </c>
    </row>
    <row r="34" spans="3:10">
      <c r="J34" s="1"/>
    </row>
    <row r="35" spans="3:10">
      <c r="J35" s="1"/>
    </row>
    <row r="36" spans="3:10">
      <c r="C36" s="20" t="s">
        <v>314</v>
      </c>
      <c r="J36" s="9">
        <f>'2021 April'!$J$42</f>
        <v>23.260000000000005</v>
      </c>
    </row>
    <row r="37" spans="3:10">
      <c r="C37" s="20"/>
      <c r="J37" s="1"/>
    </row>
    <row r="38" spans="3:10">
      <c r="C38" s="20"/>
      <c r="J38" s="1"/>
    </row>
    <row r="39" spans="3:10">
      <c r="C39" s="20"/>
      <c r="J39" s="1"/>
    </row>
    <row r="40" spans="3:10">
      <c r="J40" s="1"/>
    </row>
    <row r="41" spans="3:10">
      <c r="C41" t="s">
        <v>20</v>
      </c>
    </row>
    <row r="54" spans="8:8">
      <c r="H54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57616-3191-4103-9C45-90D7B537F1F4}">
  <sheetPr>
    <pageSetUpPr fitToPage="1"/>
  </sheetPr>
  <dimension ref="C4:N55"/>
  <sheetViews>
    <sheetView topLeftCell="C10" zoomScaleNormal="100" workbookViewId="0">
      <selection activeCell="J24" sqref="J2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313</v>
      </c>
      <c r="D6" s="37"/>
      <c r="E6" s="37"/>
      <c r="F6" s="37"/>
      <c r="G6" s="37"/>
      <c r="H6" s="37"/>
      <c r="I6" s="37"/>
      <c r="J6" s="37"/>
    </row>
    <row r="9" spans="3:12">
      <c r="C9" s="4" t="s">
        <v>308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H13" s="7"/>
      <c r="J13" s="6"/>
    </row>
    <row r="14" spans="3:12">
      <c r="C14" t="s">
        <v>307</v>
      </c>
      <c r="H14" s="7">
        <v>58</v>
      </c>
      <c r="J14" s="6"/>
    </row>
    <row r="15" spans="3:12">
      <c r="C15" t="s">
        <v>307</v>
      </c>
      <c r="H15" s="7">
        <v>2914</v>
      </c>
      <c r="J15" s="6"/>
    </row>
    <row r="16" spans="3:12">
      <c r="D16" s="23"/>
      <c r="G16" s="23"/>
      <c r="H16" s="7"/>
      <c r="J16" s="6"/>
      <c r="L16" s="26"/>
    </row>
    <row r="17" spans="3:14">
      <c r="H17" s="7"/>
      <c r="I17" s="7"/>
      <c r="J17" s="6"/>
    </row>
    <row r="18" spans="3:14">
      <c r="C18" t="s">
        <v>14</v>
      </c>
      <c r="H18" s="7"/>
      <c r="J18" s="6"/>
    </row>
    <row r="19" spans="3:14">
      <c r="H19" s="7"/>
      <c r="J19" s="6"/>
      <c r="K19" t="s">
        <v>105</v>
      </c>
    </row>
    <row r="20" spans="3:14">
      <c r="H20" s="7">
        <v>0</v>
      </c>
      <c r="J20" s="6"/>
      <c r="L20" s="26"/>
    </row>
    <row r="21" spans="3:14">
      <c r="H21" s="7"/>
      <c r="J21" s="6"/>
      <c r="L21" s="26"/>
    </row>
    <row r="22" spans="3:14">
      <c r="H22" s="7"/>
      <c r="J22" s="6"/>
      <c r="L22" s="26"/>
    </row>
    <row r="24" spans="3:14" ht="17.05">
      <c r="C24" s="20" t="s">
        <v>309</v>
      </c>
      <c r="D24" s="4"/>
      <c r="E24" s="4"/>
      <c r="F24" s="4"/>
      <c r="G24" s="4"/>
      <c r="H24" s="4"/>
      <c r="I24" s="9"/>
      <c r="J24" s="5">
        <f>(J9+H14+H15+H20)</f>
        <v>16770.640000000003</v>
      </c>
    </row>
    <row r="26" spans="3:14">
      <c r="C26" s="4"/>
    </row>
    <row r="27" spans="3:14">
      <c r="C27" s="4" t="s">
        <v>18</v>
      </c>
      <c r="J27" s="9">
        <f>'2021 June'!$J$33</f>
        <v>6942.9799999999987</v>
      </c>
    </row>
    <row r="28" spans="3:14">
      <c r="C28" s="4"/>
      <c r="J28" s="9"/>
    </row>
    <row r="29" spans="3:14">
      <c r="C29" t="s">
        <v>294</v>
      </c>
      <c r="J29" s="32">
        <f>'[7]JUN 2021'!$F$41</f>
        <v>2.89</v>
      </c>
      <c r="N29" t="s">
        <v>105</v>
      </c>
    </row>
    <row r="30" spans="3:14">
      <c r="J30" s="7"/>
    </row>
    <row r="31" spans="3:14">
      <c r="C31" s="4" t="s">
        <v>49</v>
      </c>
      <c r="J31" s="24">
        <f>(J27+J29)</f>
        <v>6945.869999999999</v>
      </c>
      <c r="N31" s="7"/>
    </row>
    <row r="32" spans="3:14">
      <c r="J32" s="7"/>
    </row>
    <row r="33" spans="3:10">
      <c r="J33" s="1"/>
    </row>
    <row r="34" spans="3:10">
      <c r="C34" s="4" t="s">
        <v>131</v>
      </c>
      <c r="D34" s="4"/>
      <c r="E34" s="4"/>
      <c r="F34" s="4"/>
      <c r="G34" s="4"/>
      <c r="I34" s="4"/>
      <c r="J34" s="9">
        <f>'2021 April'!$J$42</f>
        <v>23.260000000000005</v>
      </c>
    </row>
    <row r="35" spans="3:10">
      <c r="J35" s="1"/>
    </row>
    <row r="36" spans="3:10">
      <c r="J36" s="1"/>
    </row>
    <row r="37" spans="3:10">
      <c r="C37" s="20" t="s">
        <v>306</v>
      </c>
      <c r="J37" s="9">
        <f>'2021 April'!$J$42</f>
        <v>23.260000000000005</v>
      </c>
    </row>
    <row r="38" spans="3:10">
      <c r="C38" s="20"/>
      <c r="J38" s="1"/>
    </row>
    <row r="39" spans="3:10">
      <c r="C39" s="20"/>
      <c r="J39" s="1"/>
    </row>
    <row r="40" spans="3:10">
      <c r="C40" s="20"/>
      <c r="J40" s="1"/>
    </row>
    <row r="41" spans="3:10">
      <c r="J41" s="1"/>
    </row>
    <row r="42" spans="3:10">
      <c r="C42" t="s">
        <v>20</v>
      </c>
    </row>
    <row r="55" spans="8:8">
      <c r="H55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A6E7-A827-4CD7-9086-E3B582FE3167}">
  <sheetPr>
    <pageSetUpPr fitToPage="1"/>
  </sheetPr>
  <dimension ref="C4:N53"/>
  <sheetViews>
    <sheetView zoomScaleNormal="100" workbookViewId="0">
      <selection activeCell="M40" sqref="M40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303</v>
      </c>
      <c r="D6" s="37"/>
      <c r="E6" s="37"/>
      <c r="F6" s="37"/>
      <c r="G6" s="37"/>
      <c r="H6" s="37"/>
      <c r="I6" s="37"/>
      <c r="J6" s="37"/>
    </row>
    <row r="9" spans="3:12">
      <c r="C9" s="4" t="s">
        <v>304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305</v>
      </c>
      <c r="D22" s="4"/>
      <c r="E22" s="4"/>
      <c r="F22" s="4"/>
      <c r="G22" s="4"/>
      <c r="H22" s="4"/>
      <c r="I22" s="9"/>
      <c r="J22" s="5">
        <f>(J9+H14-H18)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'[7]JUN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306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602BE-AFD3-4C18-B7C8-22DE2413C1AF}">
  <sheetPr>
    <pageSetUpPr fitToPage="1"/>
  </sheetPr>
  <dimension ref="C4:N53"/>
  <sheetViews>
    <sheetView topLeftCell="A10" zoomScaleNormal="100" workbookViewId="0">
      <selection activeCell="C6" sqref="C6:J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298</v>
      </c>
      <c r="D6" s="37"/>
      <c r="E6" s="37"/>
      <c r="F6" s="37"/>
      <c r="G6" s="37"/>
      <c r="H6" s="37"/>
      <c r="I6" s="37"/>
      <c r="J6" s="37"/>
    </row>
    <row r="9" spans="3:12">
      <c r="C9" s="4" t="s">
        <v>299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301</v>
      </c>
      <c r="D22" s="4"/>
      <c r="E22" s="4"/>
      <c r="F22" s="4"/>
      <c r="G22" s="4"/>
      <c r="H22" s="4"/>
      <c r="I22" s="9"/>
      <c r="J22" s="5">
        <f>(J9+H14-H18)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'[7]JUN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302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A896-7B0B-42DB-A39E-FDE4750585CD}">
  <sheetPr>
    <pageSetUpPr fitToPage="1"/>
  </sheetPr>
  <dimension ref="C4:N53"/>
  <sheetViews>
    <sheetView topLeftCell="A7" zoomScaleNormal="100" workbookViewId="0">
      <selection activeCell="G26" sqref="G2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295</v>
      </c>
      <c r="D6" s="37"/>
      <c r="E6" s="37"/>
      <c r="F6" s="37"/>
      <c r="G6" s="37"/>
      <c r="H6" s="37"/>
      <c r="I6" s="37"/>
      <c r="J6" s="37"/>
    </row>
    <row r="9" spans="3:12">
      <c r="C9" s="4" t="s">
        <v>296</v>
      </c>
      <c r="J9" s="10">
        <f>'2021 July'!$J$22</f>
        <v>13798.640000000003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297</v>
      </c>
      <c r="D22" s="4"/>
      <c r="E22" s="4"/>
      <c r="F22" s="4"/>
      <c r="G22" s="4"/>
      <c r="H22" s="4"/>
      <c r="I22" s="9"/>
      <c r="J22" s="5">
        <f>(J9+H14-H18)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'[7]JUN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300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3BA0-86C8-4065-AB4F-06AB0DF7666D}">
  <sheetPr>
    <pageSetUpPr fitToPage="1"/>
  </sheetPr>
  <dimension ref="C4:N53"/>
  <sheetViews>
    <sheetView zoomScaleNormal="100" workbookViewId="0">
      <selection activeCell="J22" sqref="J2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289</v>
      </c>
      <c r="D6" s="37"/>
      <c r="E6" s="37"/>
      <c r="F6" s="37"/>
      <c r="G6" s="37"/>
      <c r="H6" s="37"/>
      <c r="I6" s="37"/>
      <c r="J6" s="37"/>
    </row>
    <row r="9" spans="3:12">
      <c r="C9" s="4" t="s">
        <v>290</v>
      </c>
      <c r="J9" s="10">
        <f>'2021 June'!$J$22</f>
        <v>16798.640000000003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D18" t="s">
        <v>293</v>
      </c>
      <c r="H18" s="7">
        <v>1500</v>
      </c>
      <c r="J18" s="6"/>
      <c r="L18" s="26"/>
    </row>
    <row r="19" spans="3:14">
      <c r="D19" t="s">
        <v>292</v>
      </c>
      <c r="H19" s="7">
        <v>1500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291</v>
      </c>
      <c r="D22" s="4"/>
      <c r="E22" s="4"/>
      <c r="F22" s="4"/>
      <c r="G22" s="4"/>
      <c r="H22" s="4"/>
      <c r="I22" s="9"/>
      <c r="J22" s="5">
        <f>(J9+H14-H18-H19)</f>
        <v>13798.640000000003</v>
      </c>
    </row>
    <row r="24" spans="3:14">
      <c r="C24" s="4"/>
    </row>
    <row r="25" spans="3:14">
      <c r="C25" s="4" t="s">
        <v>18</v>
      </c>
      <c r="J25" s="9">
        <f>'2021 June'!$J$33</f>
        <v>6942.9799999999987</v>
      </c>
    </row>
    <row r="26" spans="3:14">
      <c r="C26" s="4"/>
      <c r="J26" s="9"/>
    </row>
    <row r="27" spans="3:14">
      <c r="C27" t="s">
        <v>294</v>
      </c>
      <c r="J27" s="32">
        <f>'[7]JUN 2021'!$F$41</f>
        <v>2.89</v>
      </c>
      <c r="N27" t="s">
        <v>105</v>
      </c>
    </row>
    <row r="28" spans="3:14">
      <c r="J28" s="7"/>
    </row>
    <row r="29" spans="3:14">
      <c r="C29" s="4" t="s">
        <v>49</v>
      </c>
      <c r="J29" s="24">
        <f>(J25+J27)</f>
        <v>6945.869999999999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'2021 April'!$J$42</f>
        <v>23.260000000000005</v>
      </c>
    </row>
    <row r="33" spans="3:10">
      <c r="J33" s="1"/>
    </row>
    <row r="34" spans="3:10">
      <c r="J34" s="1"/>
    </row>
    <row r="35" spans="3:10">
      <c r="C35" s="20" t="s">
        <v>287</v>
      </c>
      <c r="J35" s="9">
        <f>'2021 April'!$J$42</f>
        <v>23.260000000000005</v>
      </c>
    </row>
    <row r="36" spans="3:10">
      <c r="C36" s="20"/>
      <c r="J36" s="1"/>
    </row>
    <row r="37" spans="3:10">
      <c r="C37" s="20"/>
      <c r="J37" s="1"/>
    </row>
    <row r="38" spans="3:10">
      <c r="C38" s="20"/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N57"/>
  <sheetViews>
    <sheetView topLeftCell="B4" zoomScaleNormal="100" workbookViewId="0">
      <selection activeCell="J33" sqref="J33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284</v>
      </c>
      <c r="D6" s="37"/>
      <c r="E6" s="37"/>
      <c r="F6" s="37"/>
      <c r="G6" s="37"/>
      <c r="H6" s="37"/>
      <c r="I6" s="37"/>
      <c r="J6" s="37"/>
    </row>
    <row r="9" spans="3:12">
      <c r="C9" s="4" t="s">
        <v>285</v>
      </c>
      <c r="J9" s="10">
        <f>'2021 May'!$J$22</f>
        <v>15969.390000000003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tr">
        <f>'[8]June 2021 ACH_Remittance(1)'!$J$2</f>
        <v>2021 3RD PMT SECTION DUES REIM</v>
      </c>
      <c r="G14" s="23"/>
      <c r="H14" s="7">
        <f>'[8]June 2021 ACH_Remittance(1)'!$G$2</f>
        <v>829.25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286</v>
      </c>
      <c r="D22" s="4"/>
      <c r="E22" s="4"/>
      <c r="F22" s="4"/>
      <c r="G22" s="4"/>
      <c r="H22" s="4"/>
      <c r="I22" s="9"/>
      <c r="J22" s="5">
        <f>(J9+H14-H18)</f>
        <v>16798.640000000003</v>
      </c>
    </row>
    <row r="24" spans="3:14">
      <c r="C24" s="4"/>
    </row>
    <row r="25" spans="3:14">
      <c r="C25" s="4" t="s">
        <v>18</v>
      </c>
      <c r="J25" s="9">
        <f>'2021 March'!$J$33</f>
        <v>6919.8799999999992</v>
      </c>
    </row>
    <row r="26" spans="3:14">
      <c r="C26" s="4"/>
      <c r="J26" s="9"/>
    </row>
    <row r="27" spans="3:14">
      <c r="C27" t="s">
        <v>268</v>
      </c>
      <c r="J27" s="7">
        <f>'[9]DEC 2020'!$G$43</f>
        <v>8.65</v>
      </c>
      <c r="N27" t="s">
        <v>105</v>
      </c>
    </row>
    <row r="28" spans="3:14">
      <c r="J28" s="7"/>
    </row>
    <row r="29" spans="3:14">
      <c r="C29" t="s">
        <v>269</v>
      </c>
      <c r="J29" s="7">
        <f>'[9]MAR 2021'!$G$43</f>
        <v>8.67</v>
      </c>
    </row>
    <row r="30" spans="3:14">
      <c r="J30" s="7"/>
    </row>
    <row r="31" spans="3:14">
      <c r="C31" t="s">
        <v>283</v>
      </c>
      <c r="J31" s="7">
        <f>'[10]MAy 2021'!$G$43</f>
        <v>5.78</v>
      </c>
    </row>
    <row r="32" spans="3:14">
      <c r="J32" s="7"/>
    </row>
    <row r="33" spans="3:14">
      <c r="C33" s="4" t="s">
        <v>49</v>
      </c>
      <c r="J33" s="24">
        <f>(J25+J29+J27+J31)</f>
        <v>6942.9799999999987</v>
      </c>
      <c r="N33" s="7"/>
    </row>
    <row r="34" spans="3:14">
      <c r="J34" s="7"/>
    </row>
    <row r="35" spans="3:14">
      <c r="J35" s="1"/>
    </row>
    <row r="36" spans="3:14">
      <c r="C36" s="4" t="s">
        <v>131</v>
      </c>
      <c r="D36" s="4"/>
      <c r="E36" s="4"/>
      <c r="F36" s="4"/>
      <c r="G36" s="4"/>
      <c r="I36" s="4"/>
      <c r="J36" s="9">
        <f>'2021 April'!$J$42</f>
        <v>23.260000000000005</v>
      </c>
    </row>
    <row r="37" spans="3:14">
      <c r="J37" s="1"/>
    </row>
    <row r="38" spans="3:14">
      <c r="J38" s="1"/>
    </row>
    <row r="39" spans="3:14">
      <c r="C39" s="20" t="s">
        <v>287</v>
      </c>
      <c r="J39" s="9">
        <f>'2021 April'!$J$42</f>
        <v>23.260000000000005</v>
      </c>
    </row>
    <row r="40" spans="3:14">
      <c r="C40" s="20"/>
      <c r="J40" s="1"/>
    </row>
    <row r="41" spans="3:14">
      <c r="C41" s="20"/>
      <c r="J41" s="1"/>
    </row>
    <row r="42" spans="3:14">
      <c r="C42" s="20"/>
      <c r="J42" s="1"/>
    </row>
    <row r="43" spans="3:14">
      <c r="J43" s="1"/>
    </row>
    <row r="44" spans="3:14">
      <c r="C44" t="s">
        <v>20</v>
      </c>
    </row>
    <row r="57" spans="8:8">
      <c r="H57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N57"/>
  <sheetViews>
    <sheetView topLeftCell="B10" zoomScaleNormal="100" workbookViewId="0">
      <selection activeCell="J33" sqref="J33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282</v>
      </c>
      <c r="D6" s="37"/>
      <c r="E6" s="37"/>
      <c r="F6" s="37"/>
      <c r="G6" s="37"/>
      <c r="H6" s="37"/>
      <c r="I6" s="37"/>
      <c r="J6" s="37"/>
    </row>
    <row r="9" spans="3:12">
      <c r="C9" s="4" t="s">
        <v>279</v>
      </c>
      <c r="J9" s="10">
        <f>'2021 April'!$J$26</f>
        <v>15969.390000000003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K17" t="s">
        <v>105</v>
      </c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280</v>
      </c>
      <c r="D22" s="4"/>
      <c r="E22" s="4"/>
      <c r="F22" s="4"/>
      <c r="G22" s="4"/>
      <c r="H22" s="4"/>
      <c r="I22" s="9"/>
      <c r="J22" s="5">
        <f>(J9-H14-H18)</f>
        <v>15969.390000000003</v>
      </c>
    </row>
    <row r="24" spans="3:14">
      <c r="C24" s="4"/>
    </row>
    <row r="25" spans="3:14">
      <c r="C25" s="4" t="s">
        <v>18</v>
      </c>
      <c r="J25" s="9">
        <f>'2021 March'!$J$33</f>
        <v>6919.8799999999992</v>
      </c>
    </row>
    <row r="26" spans="3:14">
      <c r="C26" s="4"/>
      <c r="J26" s="9"/>
    </row>
    <row r="27" spans="3:14">
      <c r="C27" t="s">
        <v>268</v>
      </c>
      <c r="J27" s="7">
        <f>'[9]DEC 2020'!$G$43</f>
        <v>8.65</v>
      </c>
      <c r="N27" t="s">
        <v>105</v>
      </c>
    </row>
    <row r="28" spans="3:14">
      <c r="J28" s="7"/>
    </row>
    <row r="29" spans="3:14">
      <c r="C29" t="s">
        <v>269</v>
      </c>
      <c r="J29" s="7">
        <f>'[9]MAR 2021'!$G$43</f>
        <v>8.67</v>
      </c>
    </row>
    <row r="30" spans="3:14">
      <c r="J30" s="7"/>
    </row>
    <row r="31" spans="3:14">
      <c r="C31" t="s">
        <v>283</v>
      </c>
      <c r="J31" s="7">
        <f>'[10]MAy 2021'!$G$43</f>
        <v>5.78</v>
      </c>
    </row>
    <row r="32" spans="3:14">
      <c r="J32" s="7"/>
    </row>
    <row r="33" spans="3:14">
      <c r="C33" s="4" t="s">
        <v>49</v>
      </c>
      <c r="J33" s="24">
        <f>(J25+J29+J27+J31)</f>
        <v>6942.9799999999987</v>
      </c>
      <c r="N33" s="7"/>
    </row>
    <row r="34" spans="3:14">
      <c r="J34" s="7"/>
    </row>
    <row r="35" spans="3:14">
      <c r="J35" s="1"/>
    </row>
    <row r="36" spans="3:14">
      <c r="C36" s="4" t="s">
        <v>131</v>
      </c>
      <c r="D36" s="4"/>
      <c r="E36" s="4"/>
      <c r="F36" s="4"/>
      <c r="G36" s="4"/>
      <c r="I36" s="4"/>
      <c r="J36" s="9">
        <f>'2021 April'!$J$42</f>
        <v>23.260000000000005</v>
      </c>
    </row>
    <row r="37" spans="3:14">
      <c r="J37" s="1"/>
    </row>
    <row r="38" spans="3:14">
      <c r="J38" s="1"/>
    </row>
    <row r="39" spans="3:14">
      <c r="C39" s="20" t="s">
        <v>281</v>
      </c>
      <c r="J39" s="9">
        <f>'2021 April'!$J$42</f>
        <v>23.260000000000005</v>
      </c>
    </row>
    <row r="40" spans="3:14">
      <c r="C40" s="20"/>
      <c r="J40" s="1"/>
    </row>
    <row r="41" spans="3:14">
      <c r="C41" s="20"/>
      <c r="J41" s="1"/>
    </row>
    <row r="42" spans="3:14">
      <c r="C42" s="20"/>
      <c r="J42" s="1"/>
    </row>
    <row r="43" spans="3:14">
      <c r="J43" s="1"/>
    </row>
    <row r="44" spans="3:14">
      <c r="C44" t="s">
        <v>20</v>
      </c>
    </row>
    <row r="57" spans="8:8">
      <c r="H57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4:N60"/>
  <sheetViews>
    <sheetView topLeftCell="B13" zoomScaleNormal="100" workbookViewId="0">
      <selection activeCell="J26" sqref="J2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278</v>
      </c>
      <c r="D6" s="37"/>
      <c r="E6" s="37"/>
      <c r="F6" s="37"/>
      <c r="G6" s="37"/>
      <c r="H6" s="37"/>
      <c r="I6" s="37"/>
      <c r="J6" s="37"/>
    </row>
    <row r="9" spans="3:12">
      <c r="C9" s="4" t="s">
        <v>270</v>
      </c>
      <c r="J9" s="10">
        <f>'2021 March'!$J$25</f>
        <v>16851.840000000004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">
        <v>264</v>
      </c>
      <c r="G14" s="23"/>
      <c r="H14" s="7">
        <v>600</v>
      </c>
      <c r="J14" s="6"/>
      <c r="L14" s="26"/>
    </row>
    <row r="15" spans="3:12">
      <c r="D15" t="s">
        <v>265</v>
      </c>
      <c r="G15" s="23"/>
      <c r="H15" s="7">
        <v>300</v>
      </c>
      <c r="J15" s="6"/>
      <c r="L15" s="26"/>
    </row>
    <row r="16" spans="3:12">
      <c r="D16" t="s">
        <v>266</v>
      </c>
      <c r="G16" s="23"/>
      <c r="H16" s="7">
        <v>300</v>
      </c>
      <c r="J16" s="6"/>
      <c r="L16" s="26"/>
    </row>
    <row r="17" spans="3:14">
      <c r="D17" t="s">
        <v>267</v>
      </c>
      <c r="G17" s="23"/>
      <c r="H17" s="7">
        <v>300</v>
      </c>
      <c r="J17" s="6"/>
      <c r="L17" s="26"/>
    </row>
    <row r="18" spans="3:14">
      <c r="D18" t="s">
        <v>273</v>
      </c>
      <c r="G18" s="23"/>
      <c r="H18" s="7">
        <v>900</v>
      </c>
      <c r="J18" s="6"/>
      <c r="L18" s="26"/>
    </row>
    <row r="19" spans="3:14">
      <c r="H19" s="7"/>
      <c r="I19" s="7"/>
      <c r="J19" s="6"/>
    </row>
    <row r="20" spans="3:14">
      <c r="C20" t="s">
        <v>14</v>
      </c>
      <c r="H20" s="7"/>
      <c r="J20" s="6"/>
    </row>
    <row r="21" spans="3:14">
      <c r="H21" s="7"/>
      <c r="J21" s="6"/>
      <c r="K21" t="s">
        <v>105</v>
      </c>
    </row>
    <row r="22" spans="3:14">
      <c r="D22" t="s">
        <v>263</v>
      </c>
      <c r="H22" s="7">
        <v>162.44999999999999</v>
      </c>
      <c r="J22" s="6"/>
      <c r="L22" s="26"/>
    </row>
    <row r="23" spans="3:14">
      <c r="D23" t="s">
        <v>272</v>
      </c>
      <c r="H23" s="7">
        <v>3120</v>
      </c>
      <c r="J23" s="6"/>
      <c r="L23" s="26"/>
    </row>
    <row r="24" spans="3:14">
      <c r="H24" s="7"/>
      <c r="J24" s="6"/>
      <c r="L24" s="26"/>
    </row>
    <row r="26" spans="3:14" ht="17.05">
      <c r="C26" s="20" t="s">
        <v>271</v>
      </c>
      <c r="D26" s="4"/>
      <c r="E26" s="4"/>
      <c r="F26" s="4"/>
      <c r="G26" s="4"/>
      <c r="H26" s="4"/>
      <c r="I26" s="9"/>
      <c r="J26" s="5">
        <f>SUM(J9)+H14+H15+H16+H17+H18-SUM(H22:H23)</f>
        <v>15969.390000000003</v>
      </c>
    </row>
    <row r="28" spans="3:14">
      <c r="C28" s="4"/>
    </row>
    <row r="29" spans="3:14">
      <c r="C29" s="4" t="s">
        <v>18</v>
      </c>
      <c r="J29" s="9">
        <f>'2021 March'!$J$33</f>
        <v>6919.8799999999992</v>
      </c>
    </row>
    <row r="30" spans="3:14">
      <c r="C30" s="4"/>
      <c r="J30" s="9"/>
    </row>
    <row r="31" spans="3:14">
      <c r="C31" t="s">
        <v>268</v>
      </c>
      <c r="J31" s="7">
        <f>'[9]DEC 2020'!$G$43</f>
        <v>8.65</v>
      </c>
      <c r="N31" t="s">
        <v>105</v>
      </c>
    </row>
    <row r="32" spans="3:14">
      <c r="J32" s="7"/>
    </row>
    <row r="33" spans="3:14">
      <c r="C33" t="s">
        <v>269</v>
      </c>
      <c r="J33" s="7">
        <f>'[9]MAR 2021'!$G$43</f>
        <v>8.67</v>
      </c>
    </row>
    <row r="34" spans="3:14">
      <c r="J34" s="7"/>
    </row>
    <row r="35" spans="3:14">
      <c r="C35" s="4" t="s">
        <v>49</v>
      </c>
      <c r="J35" s="24">
        <f>(J29+J33+J31)</f>
        <v>6937.1999999999989</v>
      </c>
      <c r="N35" s="7"/>
    </row>
    <row r="36" spans="3:14">
      <c r="J36" s="7"/>
    </row>
    <row r="37" spans="3:14">
      <c r="J37" s="1"/>
    </row>
    <row r="38" spans="3:14">
      <c r="C38" s="4" t="s">
        <v>131</v>
      </c>
      <c r="D38" s="4"/>
      <c r="E38" s="4"/>
      <c r="F38" s="4"/>
      <c r="G38" s="4"/>
      <c r="I38" s="4"/>
      <c r="J38" s="9">
        <f>'2020 April '!$J$44</f>
        <v>30.260000000000005</v>
      </c>
    </row>
    <row r="39" spans="3:14">
      <c r="J39" s="1"/>
    </row>
    <row r="40" spans="3:14">
      <c r="D40" t="s">
        <v>274</v>
      </c>
      <c r="H40" s="7">
        <v>7</v>
      </c>
      <c r="J40" s="1"/>
    </row>
    <row r="41" spans="3:14">
      <c r="J41" s="1"/>
    </row>
    <row r="42" spans="3:14">
      <c r="C42" s="20" t="s">
        <v>262</v>
      </c>
      <c r="J42" s="9">
        <f>(J38-H40)</f>
        <v>23.260000000000005</v>
      </c>
    </row>
    <row r="43" spans="3:14">
      <c r="C43" s="20"/>
      <c r="J43" s="1"/>
    </row>
    <row r="44" spans="3:14">
      <c r="C44" s="20"/>
      <c r="J44" s="1"/>
    </row>
    <row r="45" spans="3:14">
      <c r="C45" s="20"/>
      <c r="J45" s="1"/>
    </row>
    <row r="46" spans="3:14">
      <c r="J46" s="1"/>
    </row>
    <row r="47" spans="3:14">
      <c r="C47" t="s">
        <v>20</v>
      </c>
    </row>
    <row r="60" spans="8:8">
      <c r="H60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1BD40-266E-4CE6-A271-343C3DB5ECB0}">
  <sheetPr>
    <pageSetUpPr fitToPage="1"/>
  </sheetPr>
  <dimension ref="C4:O49"/>
  <sheetViews>
    <sheetView tabSelected="1" zoomScaleNormal="100" workbookViewId="0">
      <selection activeCell="J18" sqref="J18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359</v>
      </c>
      <c r="D6" s="37"/>
      <c r="E6" s="37"/>
      <c r="F6" s="37"/>
      <c r="G6" s="37"/>
      <c r="H6" s="37"/>
      <c r="I6" s="37"/>
      <c r="J6" s="37"/>
    </row>
    <row r="9" spans="3:15">
      <c r="C9" s="4" t="s">
        <v>360</v>
      </c>
      <c r="J9" s="10">
        <f>'2022 June '!$J$21</f>
        <v>19546.550000000003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H14" s="7"/>
      <c r="J14" s="6"/>
    </row>
    <row r="15" spans="3:15">
      <c r="D15" t="s">
        <v>363</v>
      </c>
      <c r="H15" s="7">
        <v>31.47</v>
      </c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361</v>
      </c>
      <c r="D18" s="4"/>
      <c r="E18" s="4"/>
      <c r="F18" s="4"/>
      <c r="G18" s="4"/>
      <c r="H18" s="4"/>
      <c r="I18" s="9"/>
      <c r="J18" s="5">
        <f>(J9+H11-H15)</f>
        <v>19515.080000000002</v>
      </c>
    </row>
    <row r="20" spans="3:15">
      <c r="C20" s="4"/>
    </row>
    <row r="21" spans="3:15">
      <c r="C21" s="4" t="s">
        <v>18</v>
      </c>
      <c r="J21" s="9">
        <f>'2022  May'!$J$27</f>
        <v>6971.9599999999982</v>
      </c>
    </row>
    <row r="22" spans="3:15">
      <c r="C22" s="4"/>
      <c r="J22" s="9"/>
    </row>
    <row r="23" spans="3:15">
      <c r="D23" t="s">
        <v>349</v>
      </c>
      <c r="H23" s="32">
        <f>'[1]jun-2022'!$G$43</f>
        <v>8.7200000000000006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6980.6799999999985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362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58"/>
  <sheetViews>
    <sheetView topLeftCell="B10" zoomScaleNormal="100" workbookViewId="0">
      <selection activeCell="D38" sqref="D38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253</v>
      </c>
      <c r="D6" s="37"/>
      <c r="E6" s="37"/>
      <c r="F6" s="37"/>
      <c r="G6" s="37"/>
      <c r="H6" s="37"/>
      <c r="I6" s="37"/>
      <c r="J6" s="37"/>
    </row>
    <row r="9" spans="3:12">
      <c r="C9" s="4" t="s">
        <v>254</v>
      </c>
      <c r="J9" s="10">
        <f>'2021 Feb'!$J$22</f>
        <v>15576.840000000006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">
        <v>257</v>
      </c>
      <c r="G14" s="23"/>
      <c r="H14" s="7">
        <v>300</v>
      </c>
      <c r="J14" s="6"/>
      <c r="L14" s="26"/>
    </row>
    <row r="15" spans="3:12">
      <c r="D15" t="s">
        <v>258</v>
      </c>
      <c r="G15" s="23"/>
      <c r="H15" s="7">
        <v>300</v>
      </c>
      <c r="J15" s="6"/>
      <c r="L15" s="26"/>
    </row>
    <row r="16" spans="3:12">
      <c r="D16" t="s">
        <v>259</v>
      </c>
      <c r="G16" s="23"/>
      <c r="H16" s="7">
        <v>300</v>
      </c>
      <c r="J16" s="6"/>
      <c r="L16" s="26"/>
    </row>
    <row r="17" spans="3:14">
      <c r="D17" t="s">
        <v>260</v>
      </c>
      <c r="G17" s="23"/>
      <c r="H17" s="7">
        <v>600</v>
      </c>
      <c r="J17" s="6"/>
      <c r="L17" s="26"/>
    </row>
    <row r="18" spans="3:14">
      <c r="D18" t="s">
        <v>261</v>
      </c>
      <c r="G18" s="23"/>
      <c r="H18" s="7">
        <v>300</v>
      </c>
      <c r="J18" s="6"/>
      <c r="L18" s="26"/>
    </row>
    <row r="19" spans="3:14">
      <c r="H19" s="7"/>
      <c r="I19" s="7"/>
      <c r="J19" s="6"/>
    </row>
    <row r="20" spans="3:14">
      <c r="C20" t="s">
        <v>14</v>
      </c>
      <c r="H20" s="7"/>
      <c r="J20" s="6"/>
    </row>
    <row r="21" spans="3:14">
      <c r="H21" s="7"/>
      <c r="J21" s="6"/>
    </row>
    <row r="22" spans="3:14">
      <c r="D22" t="s">
        <v>256</v>
      </c>
      <c r="H22" s="7">
        <v>525</v>
      </c>
      <c r="J22" s="6"/>
      <c r="L22" s="26"/>
    </row>
    <row r="23" spans="3:14">
      <c r="H23" s="7"/>
      <c r="J23" s="6"/>
      <c r="L23" s="26"/>
    </row>
    <row r="25" spans="3:14" ht="17.05">
      <c r="C25" s="20" t="s">
        <v>255</v>
      </c>
      <c r="D25" s="4"/>
      <c r="E25" s="4"/>
      <c r="F25" s="4"/>
      <c r="G25" s="4"/>
      <c r="H25" s="4"/>
      <c r="I25" s="9"/>
      <c r="J25" s="5">
        <f>SUM(J9)+H14+H15+H16+H17+H18-SUM(H22)</f>
        <v>16851.840000000004</v>
      </c>
    </row>
    <row r="27" spans="3:14">
      <c r="C27" s="4"/>
    </row>
    <row r="28" spans="3:14">
      <c r="C28" s="4" t="s">
        <v>18</v>
      </c>
      <c r="J28" s="9">
        <f>'2020 Sept'!$J$27</f>
        <v>6908.3599999999988</v>
      </c>
    </row>
    <row r="29" spans="3:14">
      <c r="C29" s="4"/>
      <c r="J29" s="9"/>
    </row>
    <row r="30" spans="3:14">
      <c r="C30" t="s">
        <v>233</v>
      </c>
      <c r="J30" s="7">
        <v>2.88</v>
      </c>
    </row>
    <row r="31" spans="3:14">
      <c r="C31" t="s">
        <v>234</v>
      </c>
      <c r="J31" s="7">
        <f>'[11]SEP 2020'!$G$43</f>
        <v>8.64</v>
      </c>
      <c r="N31" t="s">
        <v>105</v>
      </c>
    </row>
    <row r="32" spans="3:14">
      <c r="C32" s="4"/>
      <c r="J32" s="9"/>
    </row>
    <row r="33" spans="3:14">
      <c r="C33" s="4" t="s">
        <v>49</v>
      </c>
      <c r="J33" s="24">
        <f>(J28+J30+J31)</f>
        <v>6919.8799999999992</v>
      </c>
      <c r="N33" s="7"/>
    </row>
    <row r="34" spans="3:14">
      <c r="J34" s="7"/>
    </row>
    <row r="35" spans="3:14">
      <c r="J35" s="1"/>
    </row>
    <row r="36" spans="3:14">
      <c r="C36" s="4" t="s">
        <v>131</v>
      </c>
      <c r="D36" s="4"/>
      <c r="E36" s="4"/>
      <c r="F36" s="4"/>
      <c r="G36" s="4"/>
      <c r="I36" s="4"/>
      <c r="J36" s="9">
        <f>'2020 April '!$J$44</f>
        <v>30.260000000000005</v>
      </c>
    </row>
    <row r="37" spans="3:14">
      <c r="J37" s="1"/>
    </row>
    <row r="38" spans="3:14">
      <c r="D38" t="s">
        <v>274</v>
      </c>
      <c r="H38" s="7">
        <v>7</v>
      </c>
      <c r="J38" s="1"/>
    </row>
    <row r="39" spans="3:14">
      <c r="J39" s="1"/>
    </row>
    <row r="40" spans="3:14">
      <c r="C40" s="20" t="s">
        <v>262</v>
      </c>
      <c r="J40" s="9">
        <f>(J36-H38)</f>
        <v>23.260000000000005</v>
      </c>
    </row>
    <row r="41" spans="3:14">
      <c r="C41" s="20"/>
      <c r="J41" s="1"/>
    </row>
    <row r="42" spans="3:14">
      <c r="C42" s="20"/>
      <c r="J42" s="1"/>
    </row>
    <row r="43" spans="3:14">
      <c r="C43" s="20"/>
      <c r="J43" s="1"/>
    </row>
    <row r="44" spans="3:14">
      <c r="J44" s="1"/>
    </row>
    <row r="45" spans="3:14">
      <c r="C45" t="s">
        <v>20</v>
      </c>
    </row>
    <row r="58" spans="8:8">
      <c r="H5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4:N49"/>
  <sheetViews>
    <sheetView zoomScaleNormal="100" workbookViewId="0">
      <selection activeCell="G14" sqref="G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275</v>
      </c>
      <c r="D6" s="37"/>
      <c r="E6" s="37"/>
      <c r="F6" s="37"/>
      <c r="G6" s="37"/>
      <c r="H6" s="37"/>
      <c r="I6" s="37"/>
      <c r="J6" s="37"/>
    </row>
    <row r="9" spans="3:12">
      <c r="C9" s="4" t="s">
        <v>276</v>
      </c>
      <c r="J9" s="10">
        <f>'2021 Jan'!$J$22</f>
        <v>14531.590000000006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t="s">
        <v>252</v>
      </c>
      <c r="G14" s="23"/>
      <c r="H14" s="7">
        <f>[12]ACH_Remittance!$L$2</f>
        <v>1045.25</v>
      </c>
      <c r="J14" s="6"/>
      <c r="L14" s="26"/>
    </row>
    <row r="15" spans="3:12">
      <c r="D15" s="23"/>
      <c r="G15" s="23"/>
      <c r="H15" s="7"/>
      <c r="J15" s="6"/>
      <c r="L15" s="26"/>
    </row>
    <row r="16" spans="3:12">
      <c r="D16" s="23"/>
      <c r="G16" s="23"/>
      <c r="H16" s="7"/>
      <c r="J16" s="6"/>
      <c r="L16" s="26"/>
    </row>
    <row r="17" spans="3:14">
      <c r="H17" s="7"/>
      <c r="I17" s="7"/>
      <c r="J17" s="6"/>
    </row>
    <row r="18" spans="3:14">
      <c r="C18" t="s">
        <v>14</v>
      </c>
      <c r="H18" s="7"/>
      <c r="J18" s="6"/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277</v>
      </c>
      <c r="D22" s="4"/>
      <c r="E22" s="4"/>
      <c r="F22" s="4"/>
      <c r="G22" s="4"/>
      <c r="H22" s="4"/>
      <c r="I22" s="9"/>
      <c r="J22" s="5">
        <f>SUM(J9)+H14-SUM(H19)</f>
        <v>15576.840000000006</v>
      </c>
    </row>
    <row r="24" spans="3:14">
      <c r="C24" s="4"/>
    </row>
    <row r="25" spans="3:14">
      <c r="C25" s="4" t="s">
        <v>18</v>
      </c>
      <c r="J25" s="9">
        <f>'2020 Sept'!$J$27</f>
        <v>6908.3599999999988</v>
      </c>
    </row>
    <row r="26" spans="3:14">
      <c r="C26" s="4"/>
      <c r="J26" s="9"/>
    </row>
    <row r="27" spans="3:14">
      <c r="C27" t="s">
        <v>233</v>
      </c>
      <c r="J27" s="7">
        <v>2.88</v>
      </c>
    </row>
    <row r="28" spans="3:14">
      <c r="C28" t="s">
        <v>234</v>
      </c>
      <c r="J28" s="7">
        <f>'[11]SEP 2020'!$G$43</f>
        <v>8.64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6919.8799999999992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4:N49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249</v>
      </c>
      <c r="D6" s="37"/>
      <c r="E6" s="37"/>
      <c r="F6" s="37"/>
      <c r="G6" s="37"/>
      <c r="H6" s="37"/>
      <c r="I6" s="37"/>
      <c r="J6" s="37"/>
    </row>
    <row r="9" spans="3:12">
      <c r="C9" s="4" t="s">
        <v>251</v>
      </c>
      <c r="J9" s="10">
        <f>'2020 Nov '!$J$21</f>
        <v>14491.590000000006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/>
      <c r="J13" s="6"/>
      <c r="L13" s="26"/>
    </row>
    <row r="14" spans="3:12">
      <c r="D14" s="23" t="str">
        <f>[13]ACH_Remittance!$J$2</f>
        <v>Section Recruitment Rebate 202</v>
      </c>
      <c r="G14" s="23"/>
      <c r="H14" s="7">
        <f>[13]ACH_Remittance!$G$2</f>
        <v>40</v>
      </c>
      <c r="J14" s="6"/>
      <c r="L14" s="26"/>
    </row>
    <row r="15" spans="3:12">
      <c r="D15" s="23"/>
      <c r="G15" s="23"/>
      <c r="H15" s="7"/>
      <c r="J15" s="6"/>
      <c r="L15" s="26"/>
    </row>
    <row r="16" spans="3:12">
      <c r="D16" s="23"/>
      <c r="G16" s="23"/>
      <c r="H16" s="7"/>
      <c r="J16" s="6"/>
      <c r="L16" s="26"/>
    </row>
    <row r="17" spans="3:14">
      <c r="H17" s="7"/>
      <c r="I17" s="7"/>
      <c r="J17" s="6"/>
    </row>
    <row r="18" spans="3:14">
      <c r="C18" t="s">
        <v>14</v>
      </c>
      <c r="H18" s="7"/>
      <c r="J18" s="6"/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250</v>
      </c>
      <c r="D22" s="4"/>
      <c r="E22" s="4"/>
      <c r="F22" s="4"/>
      <c r="G22" s="4"/>
      <c r="H22" s="4"/>
      <c r="I22" s="9"/>
      <c r="J22" s="5">
        <f>SUM(J9)+H14-SUM(H19)</f>
        <v>14531.590000000006</v>
      </c>
    </row>
    <row r="24" spans="3:14">
      <c r="C24" s="4"/>
    </row>
    <row r="25" spans="3:14">
      <c r="C25" s="4" t="s">
        <v>18</v>
      </c>
      <c r="J25" s="9">
        <f>'2020 Sept'!$J$27</f>
        <v>6908.3599999999988</v>
      </c>
    </row>
    <row r="26" spans="3:14">
      <c r="C26" s="4"/>
      <c r="J26" s="9"/>
    </row>
    <row r="27" spans="3:14">
      <c r="C27" t="s">
        <v>233</v>
      </c>
      <c r="J27" s="7">
        <v>2.88</v>
      </c>
    </row>
    <row r="28" spans="3:14">
      <c r="C28" t="s">
        <v>234</v>
      </c>
      <c r="J28" s="7">
        <f>'[11]SEP 2020'!$G$43</f>
        <v>8.64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6919.8799999999992</v>
      </c>
      <c r="N30" s="7"/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CAE2-ACBB-4C91-8BEC-E12CF033C724}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N46"/>
  <sheetViews>
    <sheetView zoomScaleNormal="100" workbookViewId="0">
      <selection activeCell="G45" sqref="G45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246</v>
      </c>
      <c r="D6" s="37"/>
      <c r="E6" s="37"/>
      <c r="F6" s="37"/>
      <c r="G6" s="37"/>
      <c r="H6" s="37"/>
      <c r="I6" s="37"/>
      <c r="J6" s="37"/>
    </row>
    <row r="9" spans="3:12">
      <c r="C9" s="4" t="s">
        <v>247</v>
      </c>
      <c r="J9" s="10">
        <f>'2020 Nov '!$J$21</f>
        <v>14491.590000000006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v>0</v>
      </c>
      <c r="J13" s="6"/>
      <c r="L13" s="26"/>
    </row>
    <row r="14" spans="3:12">
      <c r="H14" s="7"/>
      <c r="I14" s="7"/>
      <c r="J14" s="6"/>
    </row>
    <row r="15" spans="3:12">
      <c r="C15" t="s">
        <v>14</v>
      </c>
      <c r="H15" s="7"/>
      <c r="J15" s="6"/>
    </row>
    <row r="16" spans="3:12">
      <c r="H16" s="7">
        <v>0</v>
      </c>
      <c r="J16" s="6"/>
      <c r="L16" s="26"/>
    </row>
    <row r="17" spans="3:14">
      <c r="H17" s="7"/>
      <c r="J17" s="6"/>
      <c r="L17" s="26"/>
    </row>
    <row r="19" spans="3:14" ht="17.05">
      <c r="C19" s="20" t="s">
        <v>248</v>
      </c>
      <c r="D19" s="4"/>
      <c r="E19" s="4"/>
      <c r="F19" s="4"/>
      <c r="G19" s="4"/>
      <c r="H19" s="4"/>
      <c r="I19" s="9"/>
      <c r="J19" s="5">
        <f>SUM(J9)+H13-SUM(H16)</f>
        <v>14491.590000000006</v>
      </c>
    </row>
    <row r="21" spans="3:14">
      <c r="C21" s="4"/>
    </row>
    <row r="22" spans="3:14">
      <c r="C22" s="4" t="s">
        <v>18</v>
      </c>
      <c r="J22" s="9">
        <f>'2020 Sept'!$J$27</f>
        <v>6908.3599999999988</v>
      </c>
    </row>
    <row r="23" spans="3:14">
      <c r="C23" s="4"/>
      <c r="J23" s="9"/>
    </row>
    <row r="24" spans="3:14">
      <c r="C24" t="s">
        <v>233</v>
      </c>
      <c r="J24" s="7">
        <v>2.88</v>
      </c>
    </row>
    <row r="25" spans="3:14">
      <c r="C25" t="s">
        <v>234</v>
      </c>
      <c r="J25" s="7">
        <f>'[11]SEP 2020'!$G$43</f>
        <v>8.64</v>
      </c>
      <c r="N25" t="s">
        <v>105</v>
      </c>
    </row>
    <row r="26" spans="3:14">
      <c r="C26" s="4"/>
      <c r="J26" s="9"/>
    </row>
    <row r="27" spans="3:14">
      <c r="C27" s="4" t="s">
        <v>49</v>
      </c>
      <c r="J27" s="24">
        <f>(J22+J24+J25)</f>
        <v>6919.8799999999992</v>
      </c>
      <c r="N27" s="7"/>
    </row>
    <row r="28" spans="3:14">
      <c r="J28" s="7"/>
    </row>
    <row r="29" spans="3:14">
      <c r="J29" s="1"/>
    </row>
    <row r="30" spans="3:14">
      <c r="C30" s="4" t="s">
        <v>131</v>
      </c>
      <c r="D30" s="4"/>
      <c r="E30" s="4"/>
      <c r="F30" s="4"/>
      <c r="G30" s="4"/>
      <c r="I30" s="4"/>
      <c r="J30" s="9">
        <f>'2020 April '!$J$44</f>
        <v>30.260000000000005</v>
      </c>
    </row>
    <row r="31" spans="3:14">
      <c r="J31" s="1"/>
    </row>
    <row r="32" spans="3:14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4:N48"/>
  <sheetViews>
    <sheetView zoomScaleNormal="100" workbookViewId="0">
      <selection activeCell="C14" sqref="C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239</v>
      </c>
      <c r="D6" s="37"/>
      <c r="E6" s="37"/>
      <c r="F6" s="37"/>
      <c r="G6" s="37"/>
      <c r="H6" s="37"/>
      <c r="I6" s="37"/>
      <c r="J6" s="37"/>
    </row>
    <row r="9" spans="3:12">
      <c r="C9" s="4" t="s">
        <v>240</v>
      </c>
      <c r="J9" s="10">
        <f>'2020 Oct '!$J$19</f>
        <v>11559.840000000006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f>[14]ACH_Remittance!$L$2</f>
        <v>2931.75</v>
      </c>
      <c r="J13" s="6"/>
      <c r="L13" s="26"/>
    </row>
    <row r="14" spans="3:12">
      <c r="C14" t="s">
        <v>238</v>
      </c>
      <c r="D14" s="23"/>
      <c r="G14" s="23"/>
      <c r="H14" s="7"/>
      <c r="J14" s="6"/>
      <c r="L14" s="26"/>
    </row>
    <row r="15" spans="3:12">
      <c r="D15" s="23"/>
      <c r="G15" s="23"/>
      <c r="H15" s="7"/>
      <c r="J15" s="6"/>
      <c r="L15" s="26"/>
    </row>
    <row r="16" spans="3:12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>
        <v>0</v>
      </c>
      <c r="J18" s="6"/>
      <c r="L18" s="26"/>
    </row>
    <row r="19" spans="3:14">
      <c r="H19" s="7"/>
      <c r="J19" s="6"/>
      <c r="L19" s="26"/>
    </row>
    <row r="21" spans="3:14" ht="17.05">
      <c r="C21" s="20" t="s">
        <v>241</v>
      </c>
      <c r="D21" s="4"/>
      <c r="E21" s="4"/>
      <c r="F21" s="4"/>
      <c r="G21" s="4"/>
      <c r="H21" s="4"/>
      <c r="I21" s="9"/>
      <c r="J21" s="5">
        <f>SUM(J9)+H13-SUM(H18)</f>
        <v>14491.590000000006</v>
      </c>
    </row>
    <row r="23" spans="3:14">
      <c r="C23" s="4"/>
    </row>
    <row r="24" spans="3:14">
      <c r="C24" s="4" t="s">
        <v>18</v>
      </c>
      <c r="J24" s="9">
        <f>'2020 Sept'!$J$27</f>
        <v>6908.3599999999988</v>
      </c>
    </row>
    <row r="25" spans="3:14">
      <c r="C25" s="4"/>
      <c r="J25" s="9"/>
    </row>
    <row r="26" spans="3:14">
      <c r="C26" t="s">
        <v>233</v>
      </c>
      <c r="J26" s="7">
        <v>2.88</v>
      </c>
    </row>
    <row r="27" spans="3:14">
      <c r="C27" t="s">
        <v>234</v>
      </c>
      <c r="J27" s="7">
        <f>'[11]SEP 2020'!$G$43</f>
        <v>8.64</v>
      </c>
      <c r="N27" t="s">
        <v>105</v>
      </c>
    </row>
    <row r="28" spans="3:14">
      <c r="C28" s="4"/>
      <c r="J28" s="9"/>
    </row>
    <row r="29" spans="3:14">
      <c r="C29" s="4" t="s">
        <v>49</v>
      </c>
      <c r="J29" s="24">
        <f>(J24+J26+J27)</f>
        <v>6919.8799999999992</v>
      </c>
      <c r="N29" s="7"/>
    </row>
    <row r="30" spans="3:14">
      <c r="J30" s="7"/>
    </row>
    <row r="31" spans="3:14">
      <c r="J31" s="1"/>
    </row>
    <row r="32" spans="3:14">
      <c r="C32" s="4" t="s">
        <v>131</v>
      </c>
      <c r="D32" s="4"/>
      <c r="E32" s="4"/>
      <c r="F32" s="4"/>
      <c r="G32" s="4"/>
      <c r="I32" s="4"/>
      <c r="J32" s="9">
        <f>'2020 April '!$J$44</f>
        <v>30.260000000000005</v>
      </c>
    </row>
    <row r="33" spans="3:10">
      <c r="J33" s="1"/>
    </row>
    <row r="34" spans="3:10">
      <c r="J34" s="1"/>
    </row>
    <row r="35" spans="3:10">
      <c r="C35" t="s">
        <v>20</v>
      </c>
    </row>
    <row r="48" spans="3:10">
      <c r="H4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4:N46"/>
  <sheetViews>
    <sheetView zoomScaleNormal="100" workbookViewId="0">
      <selection activeCell="J19" sqref="J19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235</v>
      </c>
      <c r="D6" s="37"/>
      <c r="E6" s="37"/>
      <c r="F6" s="37"/>
      <c r="G6" s="37"/>
      <c r="H6" s="37"/>
      <c r="I6" s="37"/>
      <c r="J6" s="37"/>
    </row>
    <row r="9" spans="3:12">
      <c r="C9" s="4" t="s">
        <v>236</v>
      </c>
      <c r="J9" s="10">
        <f>'2020 Aug'!$J$20</f>
        <v>11559.840000000006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v>0</v>
      </c>
      <c r="J13" s="6"/>
      <c r="L13" s="26"/>
    </row>
    <row r="14" spans="3:12">
      <c r="H14" s="7"/>
      <c r="I14" s="7"/>
      <c r="J14" s="6"/>
    </row>
    <row r="15" spans="3:12">
      <c r="C15" t="s">
        <v>14</v>
      </c>
      <c r="H15" s="7"/>
      <c r="J15" s="6"/>
    </row>
    <row r="16" spans="3:12">
      <c r="H16" s="7">
        <v>0</v>
      </c>
      <c r="J16" s="6"/>
      <c r="L16" s="26"/>
    </row>
    <row r="17" spans="3:14">
      <c r="H17" s="7"/>
      <c r="J17" s="6"/>
      <c r="L17" s="26"/>
    </row>
    <row r="19" spans="3:14" ht="17.05">
      <c r="C19" s="20" t="s">
        <v>237</v>
      </c>
      <c r="D19" s="4"/>
      <c r="E19" s="4"/>
      <c r="F19" s="4"/>
      <c r="G19" s="4"/>
      <c r="H19" s="4"/>
      <c r="I19" s="9"/>
      <c r="J19" s="5">
        <f>SUM(J9)+H13-SUM(H16)</f>
        <v>11559.840000000006</v>
      </c>
    </row>
    <row r="21" spans="3:14">
      <c r="C21" s="4"/>
    </row>
    <row r="22" spans="3:14">
      <c r="C22" s="4" t="s">
        <v>18</v>
      </c>
      <c r="J22" s="9">
        <f>'2020 Sept'!$J$27</f>
        <v>6908.3599999999988</v>
      </c>
    </row>
    <row r="23" spans="3:14">
      <c r="C23" s="4"/>
      <c r="J23" s="9"/>
    </row>
    <row r="24" spans="3:14">
      <c r="C24" t="s">
        <v>233</v>
      </c>
      <c r="J24" s="7">
        <v>2.88</v>
      </c>
    </row>
    <row r="25" spans="3:14">
      <c r="C25" t="s">
        <v>234</v>
      </c>
      <c r="J25" s="7">
        <f>'[11]SEP 2020'!$G$43</f>
        <v>8.64</v>
      </c>
      <c r="N25" t="s">
        <v>105</v>
      </c>
    </row>
    <row r="26" spans="3:14">
      <c r="C26" s="4"/>
      <c r="J26" s="9"/>
    </row>
    <row r="27" spans="3:14">
      <c r="C27" s="4" t="s">
        <v>49</v>
      </c>
      <c r="J27" s="24">
        <f>(J22+J24+J25)</f>
        <v>6919.8799999999992</v>
      </c>
      <c r="N27" s="7"/>
    </row>
    <row r="28" spans="3:14">
      <c r="J28" s="7"/>
    </row>
    <row r="29" spans="3:14">
      <c r="J29" s="1"/>
    </row>
    <row r="30" spans="3:14">
      <c r="C30" s="4" t="s">
        <v>131</v>
      </c>
      <c r="D30" s="4"/>
      <c r="E30" s="4"/>
      <c r="F30" s="4"/>
      <c r="G30" s="4"/>
      <c r="I30" s="4"/>
      <c r="J30" s="9">
        <f>'2020 April '!$J$44</f>
        <v>30.260000000000005</v>
      </c>
    </row>
    <row r="31" spans="3:14">
      <c r="J31" s="1"/>
    </row>
    <row r="32" spans="3:14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4:N46"/>
  <sheetViews>
    <sheetView topLeftCell="D4" zoomScaleNormal="100" workbookViewId="0">
      <selection activeCell="J27" sqref="J2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230</v>
      </c>
      <c r="D6" s="37"/>
      <c r="E6" s="37"/>
      <c r="F6" s="37"/>
      <c r="G6" s="37"/>
      <c r="H6" s="37"/>
      <c r="I6" s="37"/>
      <c r="J6" s="37"/>
    </row>
    <row r="9" spans="3:12">
      <c r="C9" s="4" t="s">
        <v>232</v>
      </c>
      <c r="J9" s="10">
        <f>'2020 Aug'!$J$20</f>
        <v>11559.840000000006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23"/>
      <c r="G13" s="23"/>
      <c r="H13" s="7">
        <v>0</v>
      </c>
      <c r="J13" s="6"/>
      <c r="L13" s="26"/>
    </row>
    <row r="14" spans="3:12">
      <c r="H14" s="7"/>
      <c r="I14" s="7"/>
      <c r="J14" s="6"/>
    </row>
    <row r="15" spans="3:12">
      <c r="C15" t="s">
        <v>14</v>
      </c>
      <c r="H15" s="7"/>
      <c r="J15" s="6"/>
    </row>
    <row r="16" spans="3:12">
      <c r="H16" s="7">
        <v>0</v>
      </c>
      <c r="J16" s="6"/>
      <c r="L16" s="26"/>
    </row>
    <row r="17" spans="3:14">
      <c r="H17" s="7"/>
      <c r="J17" s="6"/>
      <c r="L17" s="26"/>
    </row>
    <row r="19" spans="3:14" ht="17.05">
      <c r="C19" s="20" t="s">
        <v>231</v>
      </c>
      <c r="D19" s="4"/>
      <c r="E19" s="4"/>
      <c r="F19" s="4"/>
      <c r="G19" s="4"/>
      <c r="H19" s="4"/>
      <c r="I19" s="9"/>
      <c r="J19" s="5">
        <f>SUM(J9)+H13-SUM(H16)</f>
        <v>11559.840000000006</v>
      </c>
    </row>
    <row r="21" spans="3:14">
      <c r="C21" s="4"/>
    </row>
    <row r="22" spans="3:14">
      <c r="C22" s="4" t="s">
        <v>18</v>
      </c>
      <c r="J22" s="9">
        <f>'2020 April '!$J$37</f>
        <v>6893.9899999999989</v>
      </c>
    </row>
    <row r="23" spans="3:14">
      <c r="C23" s="4"/>
      <c r="J23" s="9"/>
    </row>
    <row r="24" spans="3:14">
      <c r="C24" t="s">
        <v>214</v>
      </c>
      <c r="J24" s="7">
        <v>8.61</v>
      </c>
    </row>
    <row r="25" spans="3:14">
      <c r="C25" t="s">
        <v>216</v>
      </c>
      <c r="J25" s="7">
        <f>(2.88+2.88)</f>
        <v>5.76</v>
      </c>
      <c r="N25" t="s">
        <v>105</v>
      </c>
    </row>
    <row r="26" spans="3:14">
      <c r="C26" s="4"/>
      <c r="J26" s="9"/>
    </row>
    <row r="27" spans="3:14">
      <c r="C27" s="4" t="s">
        <v>49</v>
      </c>
      <c r="J27" s="24">
        <f>(J22+J24+J25)</f>
        <v>6908.3599999999988</v>
      </c>
      <c r="N27" s="7"/>
    </row>
    <row r="28" spans="3:14">
      <c r="J28" s="7"/>
    </row>
    <row r="29" spans="3:14">
      <c r="J29" s="1"/>
    </row>
    <row r="30" spans="3:14">
      <c r="C30" s="4" t="s">
        <v>131</v>
      </c>
      <c r="D30" s="4"/>
      <c r="E30" s="4"/>
      <c r="F30" s="4"/>
      <c r="G30" s="4"/>
      <c r="I30" s="4"/>
      <c r="J30" s="9">
        <f>'2020 April '!$J$44</f>
        <v>30.260000000000005</v>
      </c>
    </row>
    <row r="31" spans="3:14">
      <c r="J31" s="1"/>
    </row>
    <row r="32" spans="3:14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C4:N47"/>
  <sheetViews>
    <sheetView topLeftCell="B1" zoomScaleNormal="100" workbookViewId="0">
      <selection activeCell="C14" sqref="C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226</v>
      </c>
      <c r="D6" s="37"/>
      <c r="E6" s="37"/>
      <c r="F6" s="37"/>
      <c r="G6" s="37"/>
      <c r="H6" s="37"/>
      <c r="I6" s="37"/>
      <c r="J6" s="37"/>
    </row>
    <row r="9" spans="3:12">
      <c r="C9" s="4" t="s">
        <v>227</v>
      </c>
      <c r="J9" s="10">
        <f>'2020 July'!$J$22</f>
        <v>10364.590000000006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C14" t="s">
        <v>229</v>
      </c>
      <c r="D14" s="23"/>
      <c r="G14" s="23"/>
      <c r="H14" s="7">
        <v>1195.25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>
        <v>0</v>
      </c>
      <c r="J17" s="6"/>
      <c r="L17" s="26"/>
    </row>
    <row r="18" spans="3:14">
      <c r="H18" s="7"/>
      <c r="J18" s="6"/>
      <c r="L18" s="26"/>
    </row>
    <row r="20" spans="3:14" ht="17.05">
      <c r="C20" s="20" t="s">
        <v>228</v>
      </c>
      <c r="D20" s="4"/>
      <c r="E20" s="4"/>
      <c r="F20" s="4"/>
      <c r="G20" s="4"/>
      <c r="H20" s="4"/>
      <c r="I20" s="9"/>
      <c r="J20" s="5">
        <f>SUM(J9)+H14-SUM(H17)</f>
        <v>11559.840000000006</v>
      </c>
    </row>
    <row r="22" spans="3:14">
      <c r="C22" s="4"/>
    </row>
    <row r="23" spans="3:14">
      <c r="C23" s="4" t="s">
        <v>18</v>
      </c>
      <c r="J23" s="9">
        <f>'2020 April '!$J$37</f>
        <v>6893.9899999999989</v>
      </c>
    </row>
    <row r="24" spans="3:14">
      <c r="C24" s="4"/>
      <c r="J24" s="9"/>
    </row>
    <row r="25" spans="3:14">
      <c r="C25" t="s">
        <v>214</v>
      </c>
      <c r="J25" s="7">
        <v>8.61</v>
      </c>
    </row>
    <row r="26" spans="3:14">
      <c r="C26" t="s">
        <v>216</v>
      </c>
      <c r="J26" s="7">
        <f>(2.88+2.88)</f>
        <v>5.76</v>
      </c>
      <c r="N26" t="s">
        <v>105</v>
      </c>
    </row>
    <row r="27" spans="3:14">
      <c r="C27" s="4"/>
      <c r="J27" s="9"/>
    </row>
    <row r="28" spans="3:14">
      <c r="C28" s="4" t="s">
        <v>49</v>
      </c>
      <c r="J28" s="24">
        <f>(J23+J25+J26)</f>
        <v>6908.3599999999988</v>
      </c>
    </row>
    <row r="29" spans="3:14">
      <c r="J29" s="7"/>
    </row>
    <row r="30" spans="3:14">
      <c r="J30" s="1"/>
    </row>
    <row r="31" spans="3:14">
      <c r="C31" s="4" t="s">
        <v>131</v>
      </c>
      <c r="D31" s="4"/>
      <c r="E31" s="4"/>
      <c r="F31" s="4"/>
      <c r="G31" s="4"/>
      <c r="I31" s="4"/>
      <c r="J31" s="9">
        <f>'2020 April '!$J$44</f>
        <v>30.260000000000005</v>
      </c>
    </row>
    <row r="32" spans="3:14">
      <c r="J32" s="1"/>
    </row>
    <row r="33" spans="3:10">
      <c r="J33" s="1"/>
    </row>
    <row r="34" spans="3:10">
      <c r="C34" t="s">
        <v>20</v>
      </c>
    </row>
    <row r="47" spans="3:10">
      <c r="H47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4:N49"/>
  <sheetViews>
    <sheetView zoomScaleNormal="100" workbookViewId="0">
      <selection activeCell="D18" sqref="D18:D19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221</v>
      </c>
      <c r="D6" s="37"/>
      <c r="E6" s="37"/>
      <c r="F6" s="37"/>
      <c r="G6" s="37"/>
      <c r="H6" s="37"/>
      <c r="I6" s="37"/>
      <c r="J6" s="37"/>
    </row>
    <row r="9" spans="3:12">
      <c r="C9" s="4" t="s">
        <v>222</v>
      </c>
      <c r="J9" s="10">
        <f>'2020 June'!$J$22</f>
        <v>13364.590000000006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L17" s="26"/>
    </row>
    <row r="18" spans="3:14">
      <c r="D18" t="s">
        <v>224</v>
      </c>
      <c r="H18" s="7">
        <v>1500</v>
      </c>
      <c r="J18" s="6"/>
      <c r="L18" s="26"/>
    </row>
    <row r="19" spans="3:14">
      <c r="D19" t="s">
        <v>225</v>
      </c>
      <c r="H19" s="7">
        <v>1500</v>
      </c>
      <c r="J19" s="6"/>
      <c r="L19" s="26"/>
    </row>
    <row r="20" spans="3:14">
      <c r="H20" s="7"/>
      <c r="J20" s="6"/>
      <c r="L20" s="26"/>
    </row>
    <row r="22" spans="3:14" ht="17.05">
      <c r="C22" s="20" t="s">
        <v>223</v>
      </c>
      <c r="D22" s="4"/>
      <c r="E22" s="4"/>
      <c r="F22" s="4"/>
      <c r="G22" s="4"/>
      <c r="H22" s="4"/>
      <c r="I22" s="9"/>
      <c r="J22" s="5">
        <f>SUM(J9)+H14-SUM(H18:H19)</f>
        <v>10364.590000000006</v>
      </c>
    </row>
    <row r="24" spans="3:14">
      <c r="C24" s="4"/>
    </row>
    <row r="25" spans="3:14">
      <c r="C25" s="4" t="s">
        <v>18</v>
      </c>
      <c r="J25" s="9">
        <f>'2020 April '!$J$37</f>
        <v>6893.9899999999989</v>
      </c>
    </row>
    <row r="26" spans="3:14">
      <c r="C26" s="4"/>
      <c r="J26" s="9"/>
    </row>
    <row r="27" spans="3:14">
      <c r="C27" t="s">
        <v>214</v>
      </c>
      <c r="J27" s="7">
        <v>8.61</v>
      </c>
    </row>
    <row r="28" spans="3:14">
      <c r="C28" t="s">
        <v>216</v>
      </c>
      <c r="J28" s="7">
        <f>(2.88+2.88)</f>
        <v>5.76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6908.3599999999988</v>
      </c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6ECAD-1F93-4F9B-9EFE-4C43F239E8AA}">
  <sheetPr>
    <pageSetUpPr fitToPage="1"/>
  </sheetPr>
  <dimension ref="C4:O49"/>
  <sheetViews>
    <sheetView zoomScaleNormal="100" workbookViewId="0">
      <selection activeCell="M22" sqref="M2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355</v>
      </c>
      <c r="D6" s="37"/>
      <c r="E6" s="37"/>
      <c r="F6" s="37"/>
      <c r="G6" s="37"/>
      <c r="H6" s="37"/>
      <c r="I6" s="37"/>
      <c r="J6" s="37"/>
    </row>
    <row r="9" spans="3:15">
      <c r="C9" s="4" t="s">
        <v>356</v>
      </c>
      <c r="J9" s="10">
        <f>'2022 June '!$J$21</f>
        <v>19546.550000000003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H14" s="7">
        <v>0</v>
      </c>
      <c r="J14" s="6"/>
    </row>
    <row r="15" spans="3:15"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357</v>
      </c>
      <c r="D18" s="4"/>
      <c r="E18" s="4"/>
      <c r="F18" s="4"/>
      <c r="G18" s="4"/>
      <c r="H18" s="4"/>
      <c r="I18" s="9"/>
      <c r="J18" s="5">
        <f>(J9+H11-H14)</f>
        <v>19546.550000000003</v>
      </c>
    </row>
    <row r="20" spans="3:15">
      <c r="C20" s="4"/>
    </row>
    <row r="21" spans="3:15">
      <c r="C21" s="4" t="s">
        <v>18</v>
      </c>
      <c r="J21" s="9">
        <f>'2022  May'!$J$27</f>
        <v>6971.9599999999982</v>
      </c>
    </row>
    <row r="22" spans="3:15">
      <c r="C22" s="4"/>
      <c r="J22" s="9"/>
    </row>
    <row r="23" spans="3:15">
      <c r="D23" t="s">
        <v>349</v>
      </c>
      <c r="H23" s="32">
        <f>'[1]jun-2022'!$G$43</f>
        <v>8.7200000000000006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6980.6799999999985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358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C4:N49"/>
  <sheetViews>
    <sheetView zoomScaleNormal="100" workbookViewId="0">
      <selection activeCell="L36" sqref="L3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217</v>
      </c>
      <c r="D6" s="37"/>
      <c r="E6" s="37"/>
      <c r="F6" s="37"/>
      <c r="G6" s="37"/>
      <c r="H6" s="37"/>
      <c r="I6" s="37"/>
      <c r="J6" s="37"/>
    </row>
    <row r="9" spans="3:12">
      <c r="C9" s="4" t="s">
        <v>218</v>
      </c>
      <c r="J9" s="10">
        <f>'2020 April '!$J$30</f>
        <v>15239.590000000006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4">
      <c r="H17" s="7"/>
      <c r="J17" s="6"/>
      <c r="L17" s="26"/>
    </row>
    <row r="18" spans="3:14">
      <c r="D18" t="s">
        <v>220</v>
      </c>
      <c r="H18" s="7">
        <v>1875</v>
      </c>
      <c r="J18" s="6"/>
      <c r="L18" s="26"/>
    </row>
    <row r="19" spans="3:14">
      <c r="H19" s="7"/>
      <c r="J19" s="6"/>
      <c r="L19" s="26"/>
    </row>
    <row r="20" spans="3:14">
      <c r="H20" s="7"/>
      <c r="J20" s="6"/>
      <c r="L20" s="26"/>
    </row>
    <row r="22" spans="3:14" ht="17.05">
      <c r="C22" s="20" t="s">
        <v>219</v>
      </c>
      <c r="D22" s="4"/>
      <c r="E22" s="4"/>
      <c r="F22" s="4"/>
      <c r="G22" s="4"/>
      <c r="H22" s="4"/>
      <c r="I22" s="9"/>
      <c r="J22" s="5">
        <f>SUM(J9)+H14-SUM(H18)</f>
        <v>13364.590000000006</v>
      </c>
    </row>
    <row r="24" spans="3:14">
      <c r="C24" s="4"/>
    </row>
    <row r="25" spans="3:14">
      <c r="C25" s="4" t="s">
        <v>18</v>
      </c>
      <c r="J25" s="9">
        <f>'2020 April '!$J$37</f>
        <v>6893.9899999999989</v>
      </c>
    </row>
    <row r="26" spans="3:14">
      <c r="C26" s="4"/>
      <c r="J26" s="9"/>
    </row>
    <row r="27" spans="3:14">
      <c r="C27" t="s">
        <v>214</v>
      </c>
      <c r="J27" s="7">
        <v>8.61</v>
      </c>
    </row>
    <row r="28" spans="3:14">
      <c r="C28" t="s">
        <v>216</v>
      </c>
      <c r="J28" s="7">
        <f>(2.88+2.88)</f>
        <v>5.76</v>
      </c>
      <c r="N28" t="s">
        <v>105</v>
      </c>
    </row>
    <row r="29" spans="3:14">
      <c r="C29" s="4"/>
      <c r="J29" s="9"/>
    </row>
    <row r="30" spans="3:14">
      <c r="C30" s="4" t="s">
        <v>49</v>
      </c>
      <c r="J30" s="24">
        <f>(J25+J27+J28)</f>
        <v>6908.3599999999988</v>
      </c>
    </row>
    <row r="31" spans="3:14">
      <c r="J31" s="7"/>
    </row>
    <row r="32" spans="3:14">
      <c r="J32" s="1"/>
    </row>
    <row r="33" spans="3:10">
      <c r="C33" s="4" t="s">
        <v>131</v>
      </c>
      <c r="D33" s="4"/>
      <c r="E33" s="4"/>
      <c r="F33" s="4"/>
      <c r="G33" s="4"/>
      <c r="I33" s="4"/>
      <c r="J33" s="9">
        <f>'2020 April '!$J$44</f>
        <v>30.260000000000005</v>
      </c>
    </row>
    <row r="34" spans="3:10"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C4:O52"/>
  <sheetViews>
    <sheetView topLeftCell="A4" zoomScaleNormal="100" workbookViewId="0">
      <selection activeCell="H17" sqref="H1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213</v>
      </c>
      <c r="D6" s="37"/>
      <c r="E6" s="37"/>
      <c r="F6" s="37"/>
      <c r="G6" s="37"/>
      <c r="H6" s="37"/>
      <c r="I6" s="37"/>
      <c r="J6" s="37"/>
    </row>
    <row r="9" spans="3:12">
      <c r="C9" s="4" t="s">
        <v>212</v>
      </c>
      <c r="J9" s="10">
        <f>'2020 April '!$J$30</f>
        <v>15239.590000000006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5">
      <c r="H17" s="7"/>
      <c r="J17" s="6"/>
      <c r="L17" s="26"/>
    </row>
    <row r="18" spans="3:15">
      <c r="H18" s="7"/>
      <c r="J18" s="6"/>
      <c r="L18" s="26"/>
    </row>
    <row r="19" spans="3:15">
      <c r="H19" s="7"/>
      <c r="J19" s="6"/>
      <c r="L19" s="26"/>
    </row>
    <row r="20" spans="3:15">
      <c r="H20" s="7"/>
      <c r="J20" s="6"/>
      <c r="L20" s="26"/>
    </row>
    <row r="21" spans="3:15">
      <c r="D21" s="15"/>
      <c r="E21" s="15"/>
      <c r="F21" s="15"/>
      <c r="G21" s="15"/>
      <c r="H21" s="7">
        <v>0</v>
      </c>
      <c r="J21" s="6"/>
      <c r="L21" s="26"/>
      <c r="O21" s="7"/>
    </row>
    <row r="22" spans="3:15">
      <c r="D22" s="15"/>
      <c r="E22" s="15"/>
      <c r="F22" s="15"/>
      <c r="G22" s="15"/>
      <c r="H22" s="16"/>
      <c r="J22" s="6"/>
      <c r="L22" s="26"/>
      <c r="O22" s="7"/>
    </row>
    <row r="23" spans="3:15">
      <c r="D23" s="15"/>
      <c r="E23" s="15"/>
      <c r="F23" s="15"/>
      <c r="G23" s="15"/>
      <c r="H23" s="16"/>
      <c r="J23" s="6"/>
      <c r="L23" s="26"/>
      <c r="O23" s="7"/>
    </row>
    <row r="25" spans="3:15" ht="17.05">
      <c r="C25" s="20" t="s">
        <v>215</v>
      </c>
      <c r="D25" s="4"/>
      <c r="E25" s="4"/>
      <c r="F25" s="4"/>
      <c r="G25" s="4"/>
      <c r="H25" s="4"/>
      <c r="I25" s="9"/>
      <c r="J25" s="5">
        <f>SUM(J9)+H14-SUM(H21)</f>
        <v>15239.590000000006</v>
      </c>
    </row>
    <row r="27" spans="3:15">
      <c r="C27" s="4"/>
    </row>
    <row r="28" spans="3:15">
      <c r="C28" s="4" t="s">
        <v>18</v>
      </c>
      <c r="J28" s="9">
        <f>'2020 April '!$J$37</f>
        <v>6893.9899999999989</v>
      </c>
    </row>
    <row r="29" spans="3:15">
      <c r="C29" s="4"/>
      <c r="J29" s="9"/>
    </row>
    <row r="30" spans="3:15">
      <c r="C30" t="s">
        <v>214</v>
      </c>
      <c r="J30" s="7">
        <v>8.61</v>
      </c>
    </row>
    <row r="31" spans="3:15">
      <c r="C31" t="s">
        <v>216</v>
      </c>
      <c r="J31" s="7">
        <f>(2.88+2.88)</f>
        <v>5.76</v>
      </c>
      <c r="N31" t="s">
        <v>105</v>
      </c>
    </row>
    <row r="32" spans="3:15">
      <c r="C32" s="4"/>
      <c r="J32" s="9"/>
    </row>
    <row r="33" spans="3:10">
      <c r="C33" s="4" t="s">
        <v>49</v>
      </c>
      <c r="J33" s="24">
        <f>(J28+J30+J31)</f>
        <v>6908.3599999999988</v>
      </c>
    </row>
    <row r="34" spans="3:10">
      <c r="J34" s="7"/>
    </row>
    <row r="35" spans="3:10">
      <c r="J35" s="1"/>
    </row>
    <row r="36" spans="3:10">
      <c r="C36" s="4" t="s">
        <v>131</v>
      </c>
      <c r="D36" s="4"/>
      <c r="E36" s="4"/>
      <c r="F36" s="4"/>
      <c r="G36" s="4"/>
      <c r="I36" s="4"/>
      <c r="J36" s="9">
        <f>'2020 April '!$J$44</f>
        <v>30.260000000000005</v>
      </c>
    </row>
    <row r="37" spans="3:10">
      <c r="J37" s="1"/>
    </row>
    <row r="38" spans="3:10">
      <c r="J38" s="1"/>
    </row>
    <row r="39" spans="3:10">
      <c r="C39" t="s">
        <v>20</v>
      </c>
    </row>
    <row r="52" spans="8:8">
      <c r="H52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C4:O62"/>
  <sheetViews>
    <sheetView topLeftCell="A7" zoomScaleNormal="100" workbookViewId="0">
      <selection activeCell="C44" sqref="C4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200</v>
      </c>
      <c r="D6" s="37"/>
      <c r="E6" s="37"/>
      <c r="F6" s="37"/>
      <c r="G6" s="37"/>
      <c r="H6" s="37"/>
      <c r="I6" s="37"/>
      <c r="J6" s="37"/>
    </row>
    <row r="9" spans="3:12">
      <c r="C9" s="4" t="s">
        <v>199</v>
      </c>
      <c r="J9" s="10">
        <f>'2020 March '!$J$36</f>
        <v>25733.780000000006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/>
      <c r="G14" s="23"/>
      <c r="H14" s="7">
        <v>0</v>
      </c>
      <c r="J14" s="6"/>
      <c r="L14" s="26"/>
    </row>
    <row r="15" spans="3:12">
      <c r="H15" s="7"/>
      <c r="I15" s="7"/>
      <c r="J15" s="6"/>
    </row>
    <row r="16" spans="3:12">
      <c r="C16" t="s">
        <v>14</v>
      </c>
      <c r="H16" s="7"/>
      <c r="J16" s="6"/>
    </row>
    <row r="17" spans="3:15">
      <c r="H17" s="7"/>
      <c r="J17" s="6"/>
      <c r="L17" s="26"/>
    </row>
    <row r="18" spans="3:15">
      <c r="D18" s="15"/>
      <c r="E18" s="15"/>
      <c r="F18" s="15"/>
      <c r="G18" s="15"/>
      <c r="H18" s="16"/>
      <c r="J18" s="6"/>
      <c r="L18" s="26"/>
      <c r="O18" s="7"/>
    </row>
    <row r="19" spans="3:15">
      <c r="D19" s="15"/>
      <c r="E19" s="15"/>
      <c r="F19" s="15"/>
      <c r="G19" s="15"/>
      <c r="H19" s="16"/>
      <c r="J19" s="6"/>
      <c r="L19" s="26"/>
      <c r="O19" s="7"/>
    </row>
    <row r="20" spans="3:15">
      <c r="D20" s="15" t="s">
        <v>207</v>
      </c>
      <c r="E20" s="15"/>
      <c r="F20" s="15"/>
      <c r="G20" s="15"/>
      <c r="H20" s="16">
        <v>475</v>
      </c>
      <c r="J20" s="6"/>
      <c r="L20" s="26"/>
      <c r="O20" s="7"/>
    </row>
    <row r="21" spans="3:15">
      <c r="D21" s="15" t="s">
        <v>204</v>
      </c>
      <c r="E21" s="15"/>
      <c r="F21" s="15"/>
      <c r="G21" s="15"/>
      <c r="H21" s="16">
        <v>950</v>
      </c>
      <c r="J21" s="6"/>
      <c r="L21" s="26"/>
      <c r="O21" s="7"/>
    </row>
    <row r="22" spans="3:15">
      <c r="D22" s="15" t="s">
        <v>208</v>
      </c>
      <c r="E22" s="15"/>
      <c r="F22" s="15"/>
      <c r="G22" s="15"/>
      <c r="H22" s="16">
        <v>1425</v>
      </c>
      <c r="J22" s="6"/>
      <c r="L22" s="26"/>
      <c r="O22" s="7"/>
    </row>
    <row r="23" spans="3:15">
      <c r="D23" s="15" t="s">
        <v>211</v>
      </c>
      <c r="E23" s="15"/>
      <c r="F23" s="15"/>
      <c r="G23" s="15"/>
      <c r="H23" s="16">
        <v>750</v>
      </c>
      <c r="J23" s="6"/>
      <c r="L23" s="26"/>
      <c r="O23" s="7"/>
    </row>
    <row r="24" spans="3:15">
      <c r="D24" s="15" t="s">
        <v>206</v>
      </c>
      <c r="E24" s="15"/>
      <c r="F24" s="15"/>
      <c r="G24" s="15"/>
      <c r="H24" s="16">
        <v>475</v>
      </c>
      <c r="J24" s="6"/>
      <c r="L24" s="26"/>
      <c r="O24" s="7"/>
    </row>
    <row r="25" spans="3:15">
      <c r="D25" s="15" t="s">
        <v>210</v>
      </c>
      <c r="E25" s="15"/>
      <c r="F25" s="15"/>
      <c r="G25" s="15"/>
      <c r="H25" s="16">
        <v>4044.19</v>
      </c>
      <c r="J25" s="6"/>
      <c r="L25" s="26"/>
      <c r="O25" s="7"/>
    </row>
    <row r="26" spans="3:15">
      <c r="D26" s="15" t="s">
        <v>205</v>
      </c>
      <c r="E26" s="15"/>
      <c r="F26" s="15"/>
      <c r="G26" s="15"/>
      <c r="H26" s="16">
        <v>950</v>
      </c>
      <c r="J26" s="6"/>
      <c r="L26" s="26"/>
      <c r="O26" s="7"/>
    </row>
    <row r="27" spans="3:15">
      <c r="D27" s="15" t="s">
        <v>209</v>
      </c>
      <c r="E27" s="15"/>
      <c r="F27" s="15"/>
      <c r="G27" s="15"/>
      <c r="H27" s="16">
        <v>1425</v>
      </c>
      <c r="J27" s="6"/>
      <c r="L27" s="26"/>
      <c r="O27" s="7"/>
    </row>
    <row r="28" spans="3:15">
      <c r="D28" s="15"/>
      <c r="E28" s="15"/>
      <c r="F28" s="15"/>
      <c r="G28" s="15"/>
      <c r="H28" s="16"/>
      <c r="J28" s="6"/>
      <c r="L28" s="26"/>
      <c r="O28" s="7"/>
    </row>
    <row r="30" spans="3:15" ht="17.05">
      <c r="C30" s="20" t="s">
        <v>202</v>
      </c>
      <c r="D30" s="4"/>
      <c r="E30" s="4"/>
      <c r="F30" s="4"/>
      <c r="G30" s="4"/>
      <c r="H30" s="4"/>
      <c r="I30" s="9"/>
      <c r="J30" s="5">
        <f>SUM(J9)+SUM(H14:H14)-SUM(H20:H27)</f>
        <v>15239.590000000006</v>
      </c>
    </row>
    <row r="32" spans="3:15">
      <c r="C32" s="4"/>
    </row>
    <row r="33" spans="3:10">
      <c r="C33" s="4" t="s">
        <v>18</v>
      </c>
      <c r="J33" s="9">
        <f>'2020 Jan'!$J$30</f>
        <v>6885.3799999999992</v>
      </c>
    </row>
    <row r="34" spans="3:10">
      <c r="C34" s="4"/>
      <c r="J34" s="9"/>
    </row>
    <row r="35" spans="3:10">
      <c r="C35" t="s">
        <v>170</v>
      </c>
      <c r="J35" s="7">
        <v>8.61</v>
      </c>
    </row>
    <row r="36" spans="3:10">
      <c r="C36" s="4"/>
      <c r="J36" s="9"/>
    </row>
    <row r="37" spans="3:10">
      <c r="C37" s="4" t="s">
        <v>49</v>
      </c>
      <c r="J37" s="24">
        <f>(J33+J35)</f>
        <v>6893.9899999999989</v>
      </c>
    </row>
    <row r="38" spans="3:10">
      <c r="J38" s="7"/>
    </row>
    <row r="39" spans="3:10">
      <c r="J39" s="1"/>
    </row>
    <row r="40" spans="3:10">
      <c r="C40" s="4" t="s">
        <v>131</v>
      </c>
      <c r="D40" s="4"/>
      <c r="E40" s="4"/>
      <c r="F40" s="4"/>
      <c r="G40" s="4"/>
      <c r="I40" s="4"/>
      <c r="J40" s="9"/>
    </row>
    <row r="41" spans="3:10">
      <c r="C41" s="4"/>
      <c r="D41" s="4"/>
      <c r="E41" s="4"/>
      <c r="F41" s="4"/>
      <c r="G41" s="4"/>
      <c r="I41" s="4"/>
      <c r="J41" s="7">
        <f>'2020 March '!$J$50</f>
        <v>41.260000000000005</v>
      </c>
    </row>
    <row r="42" spans="3:10">
      <c r="D42" t="s">
        <v>201</v>
      </c>
      <c r="H42" s="7">
        <v>11</v>
      </c>
      <c r="J42" s="1"/>
    </row>
    <row r="43" spans="3:10">
      <c r="J43" s="1"/>
    </row>
    <row r="44" spans="3:10">
      <c r="C44" s="20" t="s">
        <v>203</v>
      </c>
      <c r="J44" s="9">
        <f>(J41-H42)</f>
        <v>30.260000000000005</v>
      </c>
    </row>
    <row r="45" spans="3:10">
      <c r="J45" s="1"/>
    </row>
    <row r="46" spans="3:10">
      <c r="J46" s="1"/>
    </row>
    <row r="47" spans="3:10">
      <c r="J47" s="1"/>
    </row>
    <row r="48" spans="3:10">
      <c r="J48" s="1"/>
    </row>
    <row r="49" spans="3:8">
      <c r="C49" t="s">
        <v>20</v>
      </c>
    </row>
    <row r="62" spans="3:8">
      <c r="H62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C4:L68"/>
  <sheetViews>
    <sheetView topLeftCell="A19" zoomScaleNormal="100" workbookViewId="0">
      <selection activeCell="D23" sqref="D23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194</v>
      </c>
      <c r="D6" s="37"/>
      <c r="E6" s="37"/>
      <c r="F6" s="37"/>
      <c r="G6" s="37"/>
      <c r="H6" s="37"/>
      <c r="I6" s="37"/>
      <c r="J6" s="37"/>
    </row>
    <row r="9" spans="3:12">
      <c r="C9" s="4" t="s">
        <v>189</v>
      </c>
      <c r="J9" s="10">
        <f>'2020 Feb'!$J$27</f>
        <v>30615.150000000005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t="s">
        <v>187</v>
      </c>
      <c r="G14" s="23"/>
      <c r="H14" s="7">
        <v>475</v>
      </c>
      <c r="J14" s="6"/>
      <c r="L14" s="26"/>
    </row>
    <row r="15" spans="3:12">
      <c r="D15" t="s">
        <v>188</v>
      </c>
      <c r="G15" s="23"/>
      <c r="H15" s="7">
        <v>950</v>
      </c>
      <c r="J15" s="6"/>
      <c r="L15" s="26"/>
    </row>
    <row r="16" spans="3:12">
      <c r="D16" s="23" t="s">
        <v>191</v>
      </c>
      <c r="G16" s="23"/>
      <c r="H16" s="7">
        <v>2418.63</v>
      </c>
      <c r="J16" s="6"/>
      <c r="L16" s="26"/>
    </row>
    <row r="17" spans="3:12">
      <c r="D17" s="23"/>
      <c r="G17" s="23"/>
      <c r="H17" s="7"/>
      <c r="J17" s="6"/>
    </row>
    <row r="18" spans="3:12">
      <c r="H18" s="7"/>
      <c r="I18" s="7"/>
      <c r="J18" s="6"/>
    </row>
    <row r="19" spans="3:12">
      <c r="C19" t="s">
        <v>14</v>
      </c>
      <c r="H19" s="7"/>
      <c r="J19" s="6"/>
    </row>
    <row r="20" spans="3:12">
      <c r="H20" s="7"/>
      <c r="J20" s="6"/>
      <c r="L20" s="26"/>
    </row>
    <row r="21" spans="3:12">
      <c r="D21" t="s">
        <v>176</v>
      </c>
      <c r="H21" s="7">
        <v>1500</v>
      </c>
      <c r="J21" s="6"/>
      <c r="L21" s="26"/>
    </row>
    <row r="22" spans="3:12">
      <c r="D22" t="s">
        <v>196</v>
      </c>
      <c r="H22" s="7">
        <v>750</v>
      </c>
      <c r="J22" s="6"/>
      <c r="L22" s="26"/>
    </row>
    <row r="23" spans="3:12">
      <c r="D23" t="s">
        <v>175</v>
      </c>
      <c r="H23" s="7">
        <v>750</v>
      </c>
      <c r="J23" s="6"/>
      <c r="L23" s="26"/>
    </row>
    <row r="24" spans="3:12">
      <c r="D24" t="s">
        <v>177</v>
      </c>
      <c r="H24" s="7">
        <v>1500</v>
      </c>
      <c r="J24" s="6"/>
      <c r="L24" s="26"/>
    </row>
    <row r="25" spans="3:12">
      <c r="D25" t="s">
        <v>178</v>
      </c>
      <c r="H25" s="7">
        <v>1500</v>
      </c>
      <c r="J25" s="6"/>
      <c r="L25" s="26"/>
    </row>
    <row r="26" spans="3:12">
      <c r="D26" t="s">
        <v>179</v>
      </c>
      <c r="H26" s="7">
        <v>750</v>
      </c>
      <c r="J26" s="6"/>
      <c r="L26" s="26"/>
    </row>
    <row r="27" spans="3:12">
      <c r="D27" t="s">
        <v>180</v>
      </c>
      <c r="H27" s="7">
        <v>750</v>
      </c>
      <c r="J27" s="6"/>
      <c r="L27" s="26"/>
    </row>
    <row r="28" spans="3:12">
      <c r="D28" t="s">
        <v>181</v>
      </c>
      <c r="H28" s="7">
        <v>150</v>
      </c>
      <c r="J28" s="6"/>
      <c r="L28" s="26"/>
    </row>
    <row r="29" spans="3:12">
      <c r="D29" t="s">
        <v>182</v>
      </c>
      <c r="H29" s="7">
        <v>125</v>
      </c>
      <c r="J29" s="6"/>
      <c r="L29" s="26"/>
    </row>
    <row r="30" spans="3:12">
      <c r="D30" t="s">
        <v>183</v>
      </c>
      <c r="H30" s="7">
        <v>100</v>
      </c>
      <c r="J30" s="6"/>
      <c r="L30" s="26"/>
    </row>
    <row r="31" spans="3:12">
      <c r="D31" t="s">
        <v>184</v>
      </c>
      <c r="H31" s="7">
        <v>150</v>
      </c>
      <c r="J31" s="6"/>
      <c r="L31" s="26"/>
    </row>
    <row r="32" spans="3:12">
      <c r="D32" t="s">
        <v>185</v>
      </c>
      <c r="H32" s="7">
        <v>125</v>
      </c>
      <c r="J32" s="6"/>
      <c r="L32" s="26"/>
    </row>
    <row r="33" spans="3:12">
      <c r="D33" t="s">
        <v>186</v>
      </c>
      <c r="H33" s="7">
        <v>100</v>
      </c>
      <c r="J33" s="6"/>
      <c r="L33" s="26"/>
    </row>
    <row r="34" spans="3:12">
      <c r="D34" s="15" t="s">
        <v>190</v>
      </c>
      <c r="E34" s="15"/>
      <c r="F34" s="15"/>
      <c r="G34" s="15"/>
      <c r="H34" s="16">
        <v>475</v>
      </c>
      <c r="J34" s="6"/>
      <c r="L34" s="26"/>
    </row>
    <row r="36" spans="3:12" ht="17.05">
      <c r="C36" s="20" t="s">
        <v>192</v>
      </c>
      <c r="D36" s="4"/>
      <c r="E36" s="4"/>
      <c r="F36" s="4"/>
      <c r="G36" s="4"/>
      <c r="H36" s="4"/>
      <c r="I36" s="9"/>
      <c r="J36" s="5">
        <f>SUM(J9)+SUM(H14:H16)-SUM(H21:H34)</f>
        <v>25733.780000000006</v>
      </c>
    </row>
    <row r="38" spans="3:12">
      <c r="C38" s="4"/>
    </row>
    <row r="39" spans="3:12">
      <c r="C39" s="4" t="s">
        <v>18</v>
      </c>
      <c r="J39" s="9">
        <f>'2020 Jan'!$J$30</f>
        <v>6885.3799999999992</v>
      </c>
    </row>
    <row r="40" spans="3:12">
      <c r="C40" s="4"/>
      <c r="J40" s="9"/>
    </row>
    <row r="41" spans="3:12">
      <c r="C41" t="s">
        <v>170</v>
      </c>
      <c r="J41" s="7">
        <v>8.61</v>
      </c>
    </row>
    <row r="42" spans="3:12">
      <c r="C42" s="4"/>
      <c r="J42" s="9"/>
    </row>
    <row r="43" spans="3:12">
      <c r="C43" s="4" t="s">
        <v>49</v>
      </c>
      <c r="J43" s="24">
        <f>(J39+J41)</f>
        <v>6893.9899999999989</v>
      </c>
    </row>
    <row r="44" spans="3:12">
      <c r="J44" s="7"/>
    </row>
    <row r="45" spans="3:12">
      <c r="J45" s="1"/>
    </row>
    <row r="46" spans="3:12">
      <c r="C46" s="4" t="s">
        <v>131</v>
      </c>
      <c r="D46" s="4"/>
      <c r="E46" s="4"/>
      <c r="F46" s="4"/>
      <c r="G46" s="4"/>
      <c r="I46" s="4"/>
      <c r="J46" s="9"/>
    </row>
    <row r="47" spans="3:12">
      <c r="C47" s="4"/>
      <c r="D47" s="4"/>
      <c r="E47" s="4"/>
      <c r="F47" s="4"/>
      <c r="G47" s="4"/>
      <c r="H47" s="7">
        <f>'2019 Aug'!$J$43</f>
        <v>1.2600000000000051</v>
      </c>
      <c r="I47" s="4"/>
      <c r="J47" s="9"/>
    </row>
    <row r="48" spans="3:12">
      <c r="D48" t="s">
        <v>195</v>
      </c>
      <c r="H48" s="7">
        <v>40</v>
      </c>
      <c r="J48" s="1"/>
    </row>
    <row r="49" spans="3:10">
      <c r="J49" s="1"/>
    </row>
    <row r="50" spans="3:10">
      <c r="C50" s="20" t="s">
        <v>193</v>
      </c>
      <c r="J50" s="9">
        <f>(H47+H48)</f>
        <v>41.260000000000005</v>
      </c>
    </row>
    <row r="51" spans="3:10">
      <c r="J51" s="1"/>
    </row>
    <row r="52" spans="3:10">
      <c r="J52" s="1"/>
    </row>
    <row r="53" spans="3:10">
      <c r="J53" s="1"/>
    </row>
    <row r="54" spans="3:10">
      <c r="J54" s="1"/>
    </row>
    <row r="55" spans="3:10">
      <c r="C55" t="s">
        <v>20</v>
      </c>
    </row>
    <row r="68" spans="8:8">
      <c r="H6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C4:Q55"/>
  <sheetViews>
    <sheetView zoomScaleNormal="100" workbookViewId="0">
      <selection activeCell="D17" sqref="D1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  <col min="16" max="17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197</v>
      </c>
      <c r="D6" s="37"/>
      <c r="E6" s="37"/>
      <c r="F6" s="37"/>
      <c r="G6" s="37"/>
      <c r="H6" s="37"/>
      <c r="I6" s="37"/>
      <c r="J6" s="37"/>
    </row>
    <row r="9" spans="3:12">
      <c r="C9" s="4" t="s">
        <v>166</v>
      </c>
      <c r="J9" s="10">
        <f>'2020 Jan'!$J$23</f>
        <v>26120.350000000006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t="s">
        <v>167</v>
      </c>
      <c r="E14" s="7"/>
      <c r="G14" s="23"/>
      <c r="H14" s="7">
        <v>1425</v>
      </c>
      <c r="J14" s="6"/>
      <c r="L14" s="26"/>
    </row>
    <row r="15" spans="3:12">
      <c r="D15" t="s">
        <v>168</v>
      </c>
      <c r="E15" s="7"/>
      <c r="G15" s="23"/>
      <c r="H15" s="7">
        <v>475</v>
      </c>
      <c r="J15" s="6"/>
      <c r="K15" s="27"/>
      <c r="L15" s="26"/>
    </row>
    <row r="16" spans="3:12">
      <c r="D16" s="23" t="s">
        <v>173</v>
      </c>
      <c r="G16" s="23"/>
      <c r="H16" s="16">
        <v>500</v>
      </c>
      <c r="J16" s="6"/>
      <c r="L16" s="26"/>
    </row>
    <row r="17" spans="3:17">
      <c r="D17" s="23" t="s">
        <v>171</v>
      </c>
      <c r="G17" s="23"/>
      <c r="H17" s="7">
        <v>1425.6</v>
      </c>
      <c r="J17" s="6"/>
      <c r="L17" s="26"/>
    </row>
    <row r="18" spans="3:17">
      <c r="D18" t="s">
        <v>198</v>
      </c>
      <c r="G18" s="23"/>
      <c r="H18" s="7">
        <f>[15]ACH_Remittance!$N$2</f>
        <v>1067.75</v>
      </c>
      <c r="J18" s="6"/>
      <c r="L18" s="26"/>
    </row>
    <row r="19" spans="3:17">
      <c r="D19" s="23"/>
      <c r="G19" s="23"/>
      <c r="H19" s="7"/>
      <c r="J19" s="6"/>
      <c r="L19" s="26"/>
    </row>
    <row r="20" spans="3:17">
      <c r="D20" s="23"/>
      <c r="G20" s="23"/>
      <c r="H20" s="7"/>
      <c r="J20" s="6"/>
      <c r="L20" s="26"/>
    </row>
    <row r="21" spans="3:17">
      <c r="C21" t="s">
        <v>14</v>
      </c>
      <c r="H21" s="7"/>
      <c r="J21" s="6"/>
    </row>
    <row r="22" spans="3:17">
      <c r="H22" s="7"/>
      <c r="J22" s="6"/>
      <c r="L22" s="26"/>
      <c r="M22" s="26"/>
    </row>
    <row r="23" spans="3:17">
      <c r="D23" t="s">
        <v>169</v>
      </c>
      <c r="H23" s="7">
        <v>378.99</v>
      </c>
      <c r="J23" s="6"/>
      <c r="L23" s="26"/>
    </row>
    <row r="24" spans="3:17">
      <c r="D24" t="s">
        <v>172</v>
      </c>
      <c r="H24" s="7">
        <v>19.559999999999999</v>
      </c>
      <c r="J24" s="6"/>
      <c r="L24" s="26"/>
    </row>
    <row r="25" spans="3:17">
      <c r="H25" s="7"/>
      <c r="J25" s="6"/>
      <c r="L25" s="26"/>
    </row>
    <row r="27" spans="3:17" ht="17.05">
      <c r="C27" s="20" t="s">
        <v>174</v>
      </c>
      <c r="D27" s="4"/>
      <c r="E27" s="4"/>
      <c r="F27" s="4"/>
      <c r="G27" s="4"/>
      <c r="H27" s="4"/>
      <c r="I27" s="9"/>
      <c r="J27" s="5">
        <f>SUM(J9)+SUM(H14:H18)-SUM(H23:H24)</f>
        <v>30615.150000000005</v>
      </c>
      <c r="N27" s="7"/>
      <c r="P27" s="13"/>
      <c r="Q27" s="7"/>
    </row>
    <row r="28" spans="3:17">
      <c r="M28" s="7"/>
      <c r="P28" s="16"/>
      <c r="Q28" s="7"/>
    </row>
    <row r="29" spans="3:17">
      <c r="C29" s="4"/>
    </row>
    <row r="30" spans="3:17">
      <c r="C30" s="4" t="s">
        <v>18</v>
      </c>
      <c r="J30" s="9">
        <f>'2020 Jan'!$J$30</f>
        <v>6885.3799999999992</v>
      </c>
    </row>
    <row r="31" spans="3:17">
      <c r="C31" s="4"/>
      <c r="J31" s="9"/>
      <c r="Q31" s="7"/>
    </row>
    <row r="32" spans="3:17">
      <c r="C32" t="s">
        <v>170</v>
      </c>
      <c r="J32" s="7">
        <v>8.61</v>
      </c>
    </row>
    <row r="33" spans="3:10">
      <c r="C33" s="4"/>
      <c r="J33" s="9"/>
    </row>
    <row r="34" spans="3:10">
      <c r="C34" s="4" t="s">
        <v>49</v>
      </c>
      <c r="J34" s="24">
        <f>(J30+J32)</f>
        <v>6893.9899999999989</v>
      </c>
    </row>
    <row r="35" spans="3:10">
      <c r="J35" s="7"/>
    </row>
    <row r="36" spans="3:10">
      <c r="J36" s="1"/>
    </row>
    <row r="37" spans="3:10">
      <c r="C37" s="4" t="s">
        <v>131</v>
      </c>
      <c r="D37" s="4"/>
      <c r="E37" s="4"/>
      <c r="F37" s="4"/>
      <c r="G37" s="4"/>
      <c r="H37" s="4"/>
      <c r="I37" s="4"/>
      <c r="J37" s="9">
        <f>'2019 Aug'!$J$43</f>
        <v>1.2600000000000051</v>
      </c>
    </row>
    <row r="38" spans="3:10">
      <c r="J38" s="1"/>
    </row>
    <row r="39" spans="3:10">
      <c r="J39" s="1"/>
    </row>
    <row r="40" spans="3:10">
      <c r="J40" s="1"/>
    </row>
    <row r="41" spans="3:10">
      <c r="J41" s="1"/>
    </row>
    <row r="42" spans="3:10">
      <c r="C42" t="s">
        <v>20</v>
      </c>
    </row>
    <row r="55" spans="8:8">
      <c r="H55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C4:Q51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  <col min="17" max="17" width="9.88671875" bestFit="1" customWidth="1"/>
  </cols>
  <sheetData>
    <row r="4" spans="3:12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2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2" ht="18.350000000000001">
      <c r="C6" s="39" t="s">
        <v>165</v>
      </c>
      <c r="D6" s="37"/>
      <c r="E6" s="37"/>
      <c r="F6" s="37"/>
      <c r="G6" s="37"/>
      <c r="H6" s="37"/>
      <c r="I6" s="37"/>
      <c r="J6" s="37"/>
    </row>
    <row r="9" spans="3:12">
      <c r="C9" s="4" t="s">
        <v>166</v>
      </c>
      <c r="J9" s="10">
        <f>'2019 Dec'!$J$20</f>
        <v>25212.970000000005</v>
      </c>
    </row>
    <row r="11" spans="3:12">
      <c r="C11" t="s">
        <v>13</v>
      </c>
      <c r="J11" s="6"/>
    </row>
    <row r="12" spans="3:12" hidden="1">
      <c r="H12" s="7"/>
      <c r="J12" s="6"/>
    </row>
    <row r="13" spans="3:12">
      <c r="D13" s="14"/>
      <c r="H13" s="7"/>
      <c r="J13" s="6"/>
    </row>
    <row r="14" spans="3:12">
      <c r="D14" s="23" t="s">
        <v>157</v>
      </c>
      <c r="G14" s="23"/>
      <c r="H14" s="7">
        <v>950</v>
      </c>
      <c r="J14" s="6"/>
    </row>
    <row r="15" spans="3:12">
      <c r="D15" s="23" t="s">
        <v>162</v>
      </c>
      <c r="G15" s="23"/>
      <c r="H15" s="7">
        <v>57.38</v>
      </c>
      <c r="J15" s="6"/>
      <c r="L15" s="26"/>
    </row>
    <row r="16" spans="3:12">
      <c r="D16" s="23"/>
      <c r="G16" s="23"/>
      <c r="H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H19" s="7"/>
      <c r="J19" s="6"/>
      <c r="L19" s="26"/>
      <c r="M19" s="26"/>
    </row>
    <row r="20" spans="3:17">
      <c r="D20" t="s">
        <v>160</v>
      </c>
      <c r="H20" s="7">
        <v>100</v>
      </c>
      <c r="J20" s="6"/>
      <c r="L20" s="26"/>
    </row>
    <row r="23" spans="3:17" ht="17.05">
      <c r="C23" s="20" t="s">
        <v>159</v>
      </c>
      <c r="D23" s="4"/>
      <c r="E23" s="4"/>
      <c r="F23" s="4"/>
      <c r="G23" s="4"/>
      <c r="H23" s="4"/>
      <c r="I23" s="9"/>
      <c r="J23" s="5">
        <f>SUM(J9)+SUM(H14:H15)-SUM(H19:H20)</f>
        <v>26120.350000000006</v>
      </c>
      <c r="N23" s="7"/>
      <c r="P23" s="13"/>
      <c r="Q23" s="7"/>
    </row>
    <row r="24" spans="3:17">
      <c r="P24" s="13"/>
      <c r="Q24" s="7"/>
    </row>
    <row r="25" spans="3:17">
      <c r="C25" s="4"/>
    </row>
    <row r="26" spans="3:17">
      <c r="C26" s="4" t="s">
        <v>18</v>
      </c>
      <c r="J26" s="9">
        <f>'2019 Aug'!$J$34</f>
        <v>6876.7699999999995</v>
      </c>
    </row>
    <row r="27" spans="3:17">
      <c r="C27" s="4"/>
      <c r="J27" s="9"/>
      <c r="Q27" s="7"/>
    </row>
    <row r="28" spans="3:17">
      <c r="C28" t="s">
        <v>148</v>
      </c>
      <c r="J28" s="7">
        <v>8.61</v>
      </c>
    </row>
    <row r="29" spans="3:17">
      <c r="C29" s="4"/>
      <c r="J29" s="9"/>
    </row>
    <row r="30" spans="3:17">
      <c r="C30" s="4" t="s">
        <v>49</v>
      </c>
      <c r="J30" s="24">
        <f>(J26+J28)</f>
        <v>6885.3799999999992</v>
      </c>
    </row>
    <row r="31" spans="3:17">
      <c r="J31" s="7"/>
    </row>
    <row r="32" spans="3:17">
      <c r="J32" s="1"/>
    </row>
    <row r="33" spans="3:10">
      <c r="C33" s="4" t="s">
        <v>131</v>
      </c>
      <c r="D33" s="4"/>
      <c r="E33" s="4"/>
      <c r="F33" s="4"/>
      <c r="G33" s="4"/>
      <c r="H33" s="4"/>
      <c r="I33" s="4"/>
      <c r="J33" s="9">
        <f>'2019 Aug'!$J$43</f>
        <v>1.2600000000000051</v>
      </c>
    </row>
    <row r="34" spans="3:10">
      <c r="J34" s="1"/>
    </row>
    <row r="35" spans="3:10">
      <c r="J35" s="1"/>
    </row>
    <row r="36" spans="3:10">
      <c r="J36" s="1"/>
    </row>
    <row r="37" spans="3:10">
      <c r="J37" s="1"/>
    </row>
    <row r="38" spans="3:10">
      <c r="C38" t="s">
        <v>20</v>
      </c>
    </row>
    <row r="51" spans="8:8">
      <c r="H51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C4:Q48"/>
  <sheetViews>
    <sheetView topLeftCell="A4" zoomScaleNormal="100" workbookViewId="0">
      <selection activeCell="M22" sqref="M2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  <col min="17" max="17" width="9.88671875" bestFit="1" customWidth="1"/>
  </cols>
  <sheetData>
    <row r="4" spans="3:13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3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3" ht="18.350000000000001">
      <c r="C6" s="39" t="s">
        <v>163</v>
      </c>
      <c r="D6" s="37"/>
      <c r="E6" s="37"/>
      <c r="F6" s="37"/>
      <c r="G6" s="37"/>
      <c r="H6" s="37"/>
      <c r="I6" s="37"/>
      <c r="J6" s="37"/>
    </row>
    <row r="9" spans="3:13">
      <c r="C9" s="4" t="s">
        <v>158</v>
      </c>
      <c r="J9" s="10">
        <v>25529.470000000005</v>
      </c>
    </row>
    <row r="11" spans="3:13">
      <c r="C11" t="s">
        <v>13</v>
      </c>
      <c r="J11" s="6"/>
    </row>
    <row r="12" spans="3:13" hidden="1">
      <c r="H12" s="7"/>
      <c r="J12" s="6"/>
    </row>
    <row r="13" spans="3:13">
      <c r="D13" s="14"/>
      <c r="H13" s="7"/>
      <c r="J13" s="6"/>
    </row>
    <row r="14" spans="3:13">
      <c r="H14" s="7"/>
      <c r="I14" s="7"/>
      <c r="J14" s="6"/>
    </row>
    <row r="15" spans="3:13">
      <c r="C15" t="s">
        <v>14</v>
      </c>
      <c r="H15" s="7"/>
      <c r="J15" s="6"/>
    </row>
    <row r="16" spans="3:13">
      <c r="D16" t="s">
        <v>161</v>
      </c>
      <c r="H16" s="7">
        <v>316.5</v>
      </c>
      <c r="J16" s="6"/>
      <c r="L16" s="26"/>
      <c r="M16" s="26"/>
    </row>
    <row r="17" spans="3:17">
      <c r="H17" s="7"/>
      <c r="J17" s="6"/>
      <c r="L17" s="26"/>
    </row>
    <row r="20" spans="3:17" ht="17.05">
      <c r="C20" s="20" t="s">
        <v>164</v>
      </c>
      <c r="D20" s="4"/>
      <c r="E20" s="4"/>
      <c r="F20" s="4"/>
      <c r="G20" s="4"/>
      <c r="H20" s="4"/>
      <c r="I20" s="9"/>
      <c r="J20" s="5">
        <f>SUM(J9)+SUM(H13)-SUM(H16)</f>
        <v>25212.970000000005</v>
      </c>
      <c r="N20" s="7"/>
      <c r="P20" s="13"/>
      <c r="Q20" s="7"/>
    </row>
    <row r="21" spans="3:17">
      <c r="P21" s="13"/>
      <c r="Q21" s="7"/>
    </row>
    <row r="22" spans="3:17">
      <c r="C22" s="4"/>
    </row>
    <row r="23" spans="3:17">
      <c r="C23" s="4" t="s">
        <v>18</v>
      </c>
      <c r="J23" s="9">
        <f>'2019 Aug'!$J$34</f>
        <v>6876.7699999999995</v>
      </c>
    </row>
    <row r="24" spans="3:17">
      <c r="C24" s="4"/>
      <c r="J24" s="9"/>
      <c r="Q24" s="7"/>
    </row>
    <row r="25" spans="3:17">
      <c r="C25" t="s">
        <v>148</v>
      </c>
      <c r="J25" s="7">
        <v>8.61</v>
      </c>
    </row>
    <row r="26" spans="3:17">
      <c r="C26" s="4"/>
      <c r="J26" s="9"/>
    </row>
    <row r="27" spans="3:17">
      <c r="C27" s="4" t="s">
        <v>49</v>
      </c>
      <c r="J27" s="24">
        <f>(J23+J25)</f>
        <v>6885.3799999999992</v>
      </c>
    </row>
    <row r="28" spans="3:17">
      <c r="J28" s="7"/>
    </row>
    <row r="29" spans="3:17">
      <c r="J29" s="1"/>
    </row>
    <row r="30" spans="3:17">
      <c r="C30" s="4" t="s">
        <v>131</v>
      </c>
      <c r="D30" s="4"/>
      <c r="E30" s="4"/>
      <c r="F30" s="4"/>
      <c r="G30" s="4"/>
      <c r="H30" s="4"/>
      <c r="I30" s="4"/>
      <c r="J30" s="9">
        <f>'2019 Aug'!$J$43</f>
        <v>1.2600000000000051</v>
      </c>
    </row>
    <row r="31" spans="3:17">
      <c r="J31" s="1"/>
    </row>
    <row r="32" spans="3:17">
      <c r="J32" s="1"/>
    </row>
    <row r="33" spans="3:10">
      <c r="J33" s="1"/>
    </row>
    <row r="34" spans="3:10">
      <c r="J34" s="1"/>
    </row>
    <row r="35" spans="3:10">
      <c r="C35" t="s">
        <v>20</v>
      </c>
    </row>
    <row r="48" spans="3:10">
      <c r="H48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C4:Q53"/>
  <sheetViews>
    <sheetView zoomScaleNormal="100" workbookViewId="0">
      <selection activeCell="M7" sqref="M7"/>
    </sheetView>
  </sheetViews>
  <sheetFormatPr defaultColWidth="8.88671875" defaultRowHeight="15.05"/>
  <cols>
    <col min="1" max="1" width="9" customWidth="1"/>
    <col min="6" max="6" width="11.109375" customWidth="1"/>
    <col min="7" max="7" width="28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3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3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3" ht="18.350000000000001">
      <c r="C6" s="39" t="s">
        <v>154</v>
      </c>
      <c r="D6" s="37"/>
      <c r="E6" s="37"/>
      <c r="F6" s="37"/>
      <c r="G6" s="37"/>
      <c r="H6" s="37"/>
      <c r="I6" s="37"/>
      <c r="J6" s="37"/>
    </row>
    <row r="9" spans="3:13">
      <c r="C9" s="4" t="s">
        <v>149</v>
      </c>
      <c r="J9" s="10">
        <f>'2019 Oct '!$J$26</f>
        <v>21172.570000000003</v>
      </c>
    </row>
    <row r="11" spans="3:13">
      <c r="C11" t="s">
        <v>13</v>
      </c>
      <c r="J11" s="6"/>
    </row>
    <row r="12" spans="3:13" hidden="1">
      <c r="H12" s="7"/>
      <c r="J12" s="6"/>
    </row>
    <row r="13" spans="3:13">
      <c r="D13" s="14"/>
      <c r="H13" s="7"/>
      <c r="J13" s="6"/>
    </row>
    <row r="14" spans="3:13">
      <c r="D14" s="25" t="s">
        <v>151</v>
      </c>
      <c r="G14" s="23"/>
      <c r="H14" s="7">
        <v>527</v>
      </c>
      <c r="J14" s="6"/>
      <c r="M14" s="26"/>
    </row>
    <row r="15" spans="3:13">
      <c r="D15" s="23" t="s">
        <v>152</v>
      </c>
      <c r="G15" s="23"/>
      <c r="H15" s="7">
        <v>137.5</v>
      </c>
      <c r="J15" s="6"/>
    </row>
    <row r="16" spans="3:13">
      <c r="D16" s="23" t="s">
        <v>153</v>
      </c>
      <c r="G16" s="23"/>
      <c r="H16" s="7">
        <v>3229.25</v>
      </c>
      <c r="J16" s="6"/>
    </row>
    <row r="17" spans="3:17">
      <c r="D17" s="23" t="s">
        <v>156</v>
      </c>
      <c r="G17" s="23"/>
      <c r="H17" s="7">
        <v>475</v>
      </c>
      <c r="J17" s="6"/>
    </row>
    <row r="18" spans="3:17">
      <c r="D18" s="23"/>
      <c r="G18" s="23"/>
      <c r="H18" s="7"/>
      <c r="J18" s="6"/>
    </row>
    <row r="19" spans="3:17">
      <c r="H19" s="7"/>
      <c r="I19" s="7"/>
      <c r="J19" s="6"/>
    </row>
    <row r="20" spans="3:17">
      <c r="C20" t="s">
        <v>14</v>
      </c>
      <c r="H20" s="7"/>
      <c r="J20" s="6"/>
    </row>
    <row r="21" spans="3:17">
      <c r="D21" t="s">
        <v>150</v>
      </c>
      <c r="H21" s="7">
        <v>11.85</v>
      </c>
      <c r="J21" s="6"/>
      <c r="M21" s="26"/>
    </row>
    <row r="22" spans="3:17">
      <c r="H22" s="7"/>
      <c r="J22" s="6"/>
    </row>
    <row r="25" spans="3:17" ht="17.05">
      <c r="C25" s="20" t="s">
        <v>155</v>
      </c>
      <c r="D25" s="4"/>
      <c r="E25" s="4"/>
      <c r="F25" s="4"/>
      <c r="G25" s="4"/>
      <c r="H25" s="4"/>
      <c r="I25" s="9"/>
      <c r="J25" s="5">
        <f>SUM(J9)+SUM(H14:H17)-SUM(H21:H21)</f>
        <v>25529.470000000005</v>
      </c>
      <c r="N25" s="7"/>
      <c r="P25" s="12"/>
    </row>
    <row r="26" spans="3:17">
      <c r="P26" s="13"/>
      <c r="Q26" s="7"/>
    </row>
    <row r="27" spans="3:17">
      <c r="C27" s="4"/>
    </row>
    <row r="28" spans="3:17">
      <c r="C28" s="4" t="s">
        <v>18</v>
      </c>
      <c r="J28" s="9">
        <f>'2019 Aug'!$J$34</f>
        <v>6876.7699999999995</v>
      </c>
    </row>
    <row r="29" spans="3:17">
      <c r="C29" s="4"/>
      <c r="J29" s="9"/>
    </row>
    <row r="30" spans="3:17">
      <c r="C30" t="s">
        <v>148</v>
      </c>
      <c r="J30" s="7">
        <v>8.61</v>
      </c>
    </row>
    <row r="31" spans="3:17">
      <c r="C31" s="4"/>
      <c r="J31" s="9"/>
    </row>
    <row r="32" spans="3:17">
      <c r="C32" s="4" t="s">
        <v>49</v>
      </c>
      <c r="J32" s="24">
        <f>(J28+J30)</f>
        <v>6885.3799999999992</v>
      </c>
    </row>
    <row r="33" spans="3:10">
      <c r="J33" s="7"/>
    </row>
    <row r="34" spans="3:10">
      <c r="J34" s="1"/>
    </row>
    <row r="35" spans="3:10">
      <c r="C35" s="4" t="s">
        <v>131</v>
      </c>
      <c r="D35" s="4"/>
      <c r="E35" s="4"/>
      <c r="F35" s="4"/>
      <c r="G35" s="4"/>
      <c r="H35" s="4"/>
      <c r="I35" s="4"/>
      <c r="J35" s="9">
        <f>'2019 Aug'!$J$43</f>
        <v>1.2600000000000051</v>
      </c>
    </row>
    <row r="36" spans="3:10">
      <c r="J36" s="1"/>
    </row>
    <row r="37" spans="3:10">
      <c r="J37" s="1"/>
    </row>
    <row r="38" spans="3:10">
      <c r="J38" s="1"/>
    </row>
    <row r="39" spans="3:10">
      <c r="J39" s="1"/>
    </row>
    <row r="40" spans="3:10">
      <c r="C40" t="s">
        <v>20</v>
      </c>
    </row>
    <row r="53" spans="8:8">
      <c r="H53" s="7"/>
    </row>
  </sheetData>
  <mergeCells count="3">
    <mergeCell ref="C4:J4"/>
    <mergeCell ref="C5:J5"/>
    <mergeCell ref="C6:J6"/>
  </mergeCells>
  <pageMargins left="0.7" right="0.7" top="0.75" bottom="0.75" header="0.3" footer="0.3"/>
  <pageSetup scale="95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C4:Q50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28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9" t="s">
        <v>145</v>
      </c>
      <c r="D6" s="37"/>
      <c r="E6" s="37"/>
      <c r="F6" s="37"/>
      <c r="G6" s="37"/>
      <c r="H6" s="37"/>
      <c r="I6" s="37"/>
      <c r="J6" s="37"/>
    </row>
    <row r="9" spans="3:10">
      <c r="C9" s="4" t="s">
        <v>142</v>
      </c>
      <c r="J9" s="10">
        <f>'2019 Aug'!$J$25</f>
        <v>20559.940000000002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D13" t="s">
        <v>144</v>
      </c>
      <c r="H13" s="7">
        <v>952.63</v>
      </c>
      <c r="J13" s="6"/>
    </row>
    <row r="14" spans="3:10">
      <c r="D14" s="23" t="s">
        <v>147</v>
      </c>
      <c r="G14" s="23"/>
      <c r="H14" s="7"/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D19" t="s">
        <v>143</v>
      </c>
      <c r="H19" s="7">
        <v>340</v>
      </c>
      <c r="J19" s="6"/>
    </row>
    <row r="20" spans="3:17">
      <c r="H20" s="7"/>
      <c r="J20" s="6"/>
    </row>
    <row r="21" spans="3:17">
      <c r="H21" s="7"/>
      <c r="J21" s="6"/>
    </row>
    <row r="22" spans="3:17">
      <c r="H22" s="7"/>
      <c r="J22" s="6"/>
    </row>
    <row r="23" spans="3:17">
      <c r="H23" s="7"/>
      <c r="J23" s="6"/>
    </row>
    <row r="26" spans="3:17" ht="17.05">
      <c r="C26" s="20" t="s">
        <v>146</v>
      </c>
      <c r="D26" s="4"/>
      <c r="E26" s="4"/>
      <c r="F26" s="4"/>
      <c r="G26" s="4"/>
      <c r="H26" s="4"/>
      <c r="I26" s="9"/>
      <c r="J26" s="5">
        <f>SUM(J9)+SUM(H13:H15)-SUM(H19:H19)</f>
        <v>21172.570000000003</v>
      </c>
      <c r="N26" s="7"/>
      <c r="P26" s="12"/>
    </row>
    <row r="27" spans="3:17">
      <c r="P27" s="13"/>
      <c r="Q27" s="7"/>
    </row>
    <row r="28" spans="3:17">
      <c r="C28" s="4"/>
    </row>
    <row r="29" spans="3:17">
      <c r="C29" s="4" t="s">
        <v>18</v>
      </c>
      <c r="J29" s="9">
        <f>'2019 Aug'!$J$34</f>
        <v>6876.7699999999995</v>
      </c>
    </row>
    <row r="30" spans="3:17">
      <c r="J30" s="7"/>
    </row>
    <row r="31" spans="3:17">
      <c r="J31" s="1"/>
    </row>
    <row r="32" spans="3:17">
      <c r="C32" s="4" t="s">
        <v>131</v>
      </c>
      <c r="D32" s="4"/>
      <c r="E32" s="4"/>
      <c r="F32" s="4"/>
      <c r="G32" s="4"/>
      <c r="H32" s="4"/>
      <c r="I32" s="4"/>
      <c r="J32" s="9">
        <f>'2019 Aug'!$J$43</f>
        <v>1.2600000000000051</v>
      </c>
    </row>
    <row r="33" spans="3:10">
      <c r="J33" s="1"/>
    </row>
    <row r="34" spans="3:10">
      <c r="J34" s="1"/>
    </row>
    <row r="35" spans="3:10">
      <c r="J35" s="1"/>
    </row>
    <row r="36" spans="3:10">
      <c r="J36" s="1"/>
    </row>
    <row r="37" spans="3:10">
      <c r="C37" t="s">
        <v>20</v>
      </c>
    </row>
    <row r="50" spans="8:8">
      <c r="H50" s="7"/>
    </row>
  </sheetData>
  <mergeCells count="3">
    <mergeCell ref="C4:J4"/>
    <mergeCell ref="C5:J5"/>
    <mergeCell ref="C6:J6"/>
  </mergeCells>
  <pageMargins left="0.7" right="0.7" top="0.75" bottom="0.75" header="0.3" footer="0.3"/>
  <pageSetup scale="95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C4:Q46"/>
  <sheetViews>
    <sheetView zoomScaleNormal="100" workbookViewId="0">
      <selection activeCell="J22" sqref="J22"/>
    </sheetView>
  </sheetViews>
  <sheetFormatPr defaultColWidth="8.88671875" defaultRowHeight="15.05"/>
  <cols>
    <col min="1" max="1" width="9" customWidth="1"/>
    <col min="6" max="6" width="11.109375" customWidth="1"/>
    <col min="7" max="7" width="20.332031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9" t="s">
        <v>139</v>
      </c>
      <c r="D6" s="37"/>
      <c r="E6" s="37"/>
      <c r="F6" s="37"/>
      <c r="G6" s="37"/>
      <c r="H6" s="37"/>
      <c r="I6" s="37"/>
      <c r="J6" s="37"/>
    </row>
    <row r="9" spans="3:10">
      <c r="C9" s="4" t="s">
        <v>140</v>
      </c>
      <c r="J9" s="10">
        <f>'2019 Aug'!$J$25</f>
        <v>20559.940000000002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H14" s="7">
        <v>0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H19" s="7">
        <v>0</v>
      </c>
      <c r="J19" s="6"/>
    </row>
    <row r="22" spans="3:17" ht="17.05">
      <c r="C22" s="20" t="s">
        <v>141</v>
      </c>
      <c r="D22" s="4"/>
      <c r="E22" s="4"/>
      <c r="F22" s="4"/>
      <c r="G22" s="4"/>
      <c r="H22" s="4"/>
      <c r="I22" s="9"/>
      <c r="J22" s="5">
        <f>SUM(J9)+SUM(H14:H15)-SUM(H19:H19)</f>
        <v>20559.940000000002</v>
      </c>
      <c r="N22" s="7"/>
      <c r="P22" s="12"/>
    </row>
    <row r="23" spans="3:17">
      <c r="P23" s="13"/>
      <c r="Q23" s="7"/>
    </row>
    <row r="24" spans="3:17">
      <c r="C24" s="4"/>
    </row>
    <row r="25" spans="3:17">
      <c r="C25" s="4" t="s">
        <v>18</v>
      </c>
      <c r="J25" s="9">
        <f>'2019 Aug'!$J$34</f>
        <v>6876.7699999999995</v>
      </c>
    </row>
    <row r="26" spans="3:17">
      <c r="J26" s="7"/>
    </row>
    <row r="27" spans="3:17">
      <c r="J27" s="1"/>
    </row>
    <row r="28" spans="3:17">
      <c r="C28" s="4" t="s">
        <v>131</v>
      </c>
      <c r="D28" s="4"/>
      <c r="E28" s="4"/>
      <c r="F28" s="4"/>
      <c r="G28" s="4"/>
      <c r="H28" s="4"/>
      <c r="I28" s="4"/>
      <c r="J28" s="9">
        <f>'2019 Aug'!$J$43</f>
        <v>1.2600000000000051</v>
      </c>
    </row>
    <row r="29" spans="3:17">
      <c r="J29" s="1"/>
    </row>
    <row r="30" spans="3:17">
      <c r="J30" s="1"/>
    </row>
    <row r="31" spans="3:17">
      <c r="J31" s="1"/>
    </row>
    <row r="32" spans="3:17">
      <c r="J32" s="1"/>
    </row>
    <row r="33" spans="3:8">
      <c r="C33" t="s">
        <v>20</v>
      </c>
    </row>
    <row r="46" spans="3:8">
      <c r="H46" s="7"/>
    </row>
  </sheetData>
  <mergeCells count="3">
    <mergeCell ref="C4:J4"/>
    <mergeCell ref="C5:J5"/>
    <mergeCell ref="C6:J6"/>
  </mergeCells>
  <pageMargins left="0.7" right="0.7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A7C97-47C5-4E04-8F85-27FB3A2B72E5}">
  <sheetPr>
    <pageSetUpPr fitToPage="1"/>
  </sheetPr>
  <dimension ref="C4:O49"/>
  <sheetViews>
    <sheetView zoomScaleNormal="100" workbookViewId="0">
      <selection activeCell="F19" sqref="F19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351</v>
      </c>
      <c r="D6" s="37"/>
      <c r="E6" s="37"/>
      <c r="F6" s="37"/>
      <c r="G6" s="37"/>
      <c r="H6" s="37"/>
      <c r="I6" s="37"/>
      <c r="J6" s="37"/>
    </row>
    <row r="9" spans="3:15">
      <c r="C9" s="4" t="s">
        <v>352</v>
      </c>
      <c r="J9" s="10">
        <f>'2022 June '!$J$21</f>
        <v>19546.550000000003</v>
      </c>
      <c r="M9" s="6"/>
      <c r="O9" s="6"/>
    </row>
    <row r="11" spans="3:15">
      <c r="C11" t="s">
        <v>13</v>
      </c>
      <c r="H11" s="7">
        <v>0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14</v>
      </c>
      <c r="H14" s="7">
        <v>0</v>
      </c>
      <c r="J14" s="6"/>
    </row>
    <row r="15" spans="3:15">
      <c r="J15" s="6"/>
    </row>
    <row r="16" spans="3:15">
      <c r="H16" s="7"/>
      <c r="J16" s="6"/>
      <c r="K16" t="s">
        <v>105</v>
      </c>
      <c r="M16" s="7"/>
      <c r="O16" s="7"/>
    </row>
    <row r="18" spans="3:15" ht="17.05">
      <c r="C18" s="20" t="s">
        <v>354</v>
      </c>
      <c r="D18" s="4"/>
      <c r="E18" s="4"/>
      <c r="F18" s="4"/>
      <c r="G18" s="4"/>
      <c r="H18" s="4"/>
      <c r="I18" s="9"/>
      <c r="J18" s="5">
        <f>(J9+H11-H14)</f>
        <v>19546.550000000003</v>
      </c>
    </row>
    <row r="20" spans="3:15">
      <c r="C20" s="4"/>
    </row>
    <row r="21" spans="3:15">
      <c r="C21" s="4" t="s">
        <v>18</v>
      </c>
      <c r="J21" s="9">
        <f>'2022  May'!$J$27</f>
        <v>6971.9599999999982</v>
      </c>
    </row>
    <row r="22" spans="3:15">
      <c r="C22" s="4"/>
      <c r="J22" s="9"/>
    </row>
    <row r="23" spans="3:15">
      <c r="D23" t="s">
        <v>349</v>
      </c>
      <c r="H23" s="32">
        <f>'[1]jun-2022'!$G$43</f>
        <v>8.7200000000000006</v>
      </c>
      <c r="N23" t="s">
        <v>105</v>
      </c>
    </row>
    <row r="24" spans="3:15">
      <c r="J24" s="32"/>
    </row>
    <row r="25" spans="3:15">
      <c r="J25" s="7"/>
    </row>
    <row r="26" spans="3:15">
      <c r="C26" s="4" t="s">
        <v>49</v>
      </c>
      <c r="J26" s="24">
        <f>(J21+H23)</f>
        <v>6980.6799999999985</v>
      </c>
      <c r="L26" s="34"/>
      <c r="N26" s="7"/>
      <c r="O26" s="35"/>
    </row>
    <row r="27" spans="3:15">
      <c r="J27" s="7"/>
      <c r="K27" s="7"/>
      <c r="M27" s="7"/>
      <c r="O27" s="36"/>
    </row>
    <row r="28" spans="3:15">
      <c r="J28" s="1"/>
    </row>
    <row r="29" spans="3:15">
      <c r="C29" s="4" t="s">
        <v>131</v>
      </c>
      <c r="D29" s="4"/>
      <c r="E29" s="4"/>
      <c r="F29" s="4"/>
      <c r="G29" s="4"/>
      <c r="I29" s="4"/>
      <c r="J29" s="9">
        <f>'2022 Apr'!$J$42</f>
        <v>14.600000000000007</v>
      </c>
    </row>
    <row r="30" spans="3:15">
      <c r="J30" s="1"/>
    </row>
    <row r="31" spans="3:15">
      <c r="C31" s="20"/>
      <c r="J31" s="7"/>
    </row>
    <row r="32" spans="3:15">
      <c r="C32" s="20" t="s">
        <v>353</v>
      </c>
      <c r="J32" s="24">
        <f>(J29)</f>
        <v>14.600000000000007</v>
      </c>
    </row>
    <row r="33" spans="3:10">
      <c r="C33" s="20"/>
      <c r="J33" s="1"/>
    </row>
    <row r="34" spans="3:10">
      <c r="C34" s="20"/>
      <c r="J34" s="1"/>
    </row>
    <row r="35" spans="3:10">
      <c r="J35" s="1"/>
    </row>
    <row r="36" spans="3:10">
      <c r="C36" t="s">
        <v>20</v>
      </c>
    </row>
    <row r="49" spans="8:8">
      <c r="H4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4:Q60"/>
  <sheetViews>
    <sheetView zoomScaleNormal="100" workbookViewId="0">
      <selection activeCell="C32" sqref="C32:F32"/>
    </sheetView>
  </sheetViews>
  <sheetFormatPr defaultColWidth="8.88671875" defaultRowHeight="15.05"/>
  <cols>
    <col min="1" max="1" width="9" customWidth="1"/>
    <col min="6" max="6" width="11.109375" customWidth="1"/>
    <col min="7" max="7" width="20.332031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9" t="s">
        <v>135</v>
      </c>
      <c r="D6" s="37"/>
      <c r="E6" s="37"/>
      <c r="F6" s="37"/>
      <c r="G6" s="37"/>
      <c r="H6" s="37"/>
      <c r="I6" s="37"/>
      <c r="J6" s="37"/>
    </row>
    <row r="9" spans="3:10">
      <c r="C9" s="4" t="s">
        <v>127</v>
      </c>
      <c r="J9" s="10">
        <f>'2019 July'!$J$22</f>
        <v>22405.480000000003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H14" s="7">
        <v>0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H18" s="7"/>
      <c r="J18" s="6"/>
    </row>
    <row r="19" spans="3:17">
      <c r="D19" t="s">
        <v>137</v>
      </c>
      <c r="H19" s="7">
        <f>SUM(297.51+13.91)</f>
        <v>311.42</v>
      </c>
      <c r="J19" s="6"/>
    </row>
    <row r="20" spans="3:17">
      <c r="D20" t="s">
        <v>128</v>
      </c>
      <c r="H20" s="22">
        <v>1500</v>
      </c>
      <c r="J20" s="6"/>
    </row>
    <row r="21" spans="3:17">
      <c r="D21" t="s">
        <v>129</v>
      </c>
      <c r="H21" s="7">
        <v>24</v>
      </c>
      <c r="J21" s="6"/>
    </row>
    <row r="22" spans="3:17">
      <c r="D22" t="s">
        <v>138</v>
      </c>
      <c r="H22" s="7">
        <v>10.119999999999999</v>
      </c>
      <c r="J22" s="6"/>
    </row>
    <row r="25" spans="3:17" ht="17.05">
      <c r="C25" s="20" t="s">
        <v>136</v>
      </c>
      <c r="D25" s="4"/>
      <c r="E25" s="4"/>
      <c r="F25" s="4"/>
      <c r="G25" s="4"/>
      <c r="H25" s="4"/>
      <c r="I25" s="9"/>
      <c r="J25" s="5">
        <f>SUM(J9)+SUM(H14:H15)-SUM(H19:H22)</f>
        <v>20559.940000000002</v>
      </c>
      <c r="N25" s="7"/>
      <c r="P25" s="12"/>
    </row>
    <row r="26" spans="3:17">
      <c r="P26" s="13"/>
      <c r="Q26" s="7"/>
    </row>
    <row r="27" spans="3:17">
      <c r="M27" s="17"/>
      <c r="P27" s="7"/>
      <c r="Q27" s="7"/>
    </row>
    <row r="28" spans="3:17">
      <c r="C28" s="4"/>
      <c r="L28" s="7"/>
    </row>
    <row r="29" spans="3:17">
      <c r="C29" s="4"/>
    </row>
    <row r="30" spans="3:17">
      <c r="C30" s="4" t="s">
        <v>18</v>
      </c>
      <c r="J30" s="9">
        <f>'2019 July'!$J$31</f>
        <v>6868.19</v>
      </c>
    </row>
    <row r="31" spans="3:17">
      <c r="J31" s="7"/>
    </row>
    <row r="32" spans="3:17">
      <c r="C32" s="20" t="s">
        <v>130</v>
      </c>
      <c r="D32" s="20"/>
      <c r="E32" s="20"/>
      <c r="F32" s="20"/>
      <c r="G32" s="20"/>
      <c r="H32" s="20"/>
      <c r="I32" s="20"/>
      <c r="J32" s="21">
        <v>8.58</v>
      </c>
    </row>
    <row r="33" spans="3:10">
      <c r="J33" s="7"/>
    </row>
    <row r="34" spans="3:10" ht="17.05">
      <c r="C34" s="4" t="s">
        <v>49</v>
      </c>
      <c r="J34" s="8">
        <f>(J32+J30)</f>
        <v>6876.7699999999995</v>
      </c>
    </row>
    <row r="35" spans="3:10">
      <c r="J35" s="7"/>
    </row>
    <row r="36" spans="3:10">
      <c r="C36" s="4"/>
      <c r="J36" s="7"/>
    </row>
    <row r="37" spans="3:10">
      <c r="J37" s="1"/>
    </row>
    <row r="38" spans="3:10">
      <c r="C38" s="4" t="s">
        <v>131</v>
      </c>
      <c r="D38" s="4"/>
      <c r="E38" s="4"/>
      <c r="F38" s="4"/>
      <c r="G38" s="4"/>
      <c r="H38" s="4"/>
      <c r="I38" s="4"/>
      <c r="J38" s="9">
        <f>'2019 April'!$J$50</f>
        <v>40.370000000000005</v>
      </c>
    </row>
    <row r="39" spans="3:10">
      <c r="J39" s="1"/>
    </row>
    <row r="40" spans="3:10">
      <c r="C40" t="s">
        <v>132</v>
      </c>
      <c r="J40" s="1"/>
    </row>
    <row r="41" spans="3:10">
      <c r="D41" t="s">
        <v>133</v>
      </c>
      <c r="H41" s="7">
        <v>39.11</v>
      </c>
      <c r="J41" s="1"/>
    </row>
    <row r="42" spans="3:10">
      <c r="J42" s="1"/>
    </row>
    <row r="43" spans="3:10" ht="17.05">
      <c r="C43" s="4" t="s">
        <v>134</v>
      </c>
      <c r="J43" s="8">
        <f>(J38-H41)</f>
        <v>1.2600000000000051</v>
      </c>
    </row>
    <row r="44" spans="3:10">
      <c r="J44" s="1"/>
    </row>
    <row r="45" spans="3:10">
      <c r="J45" s="1"/>
    </row>
    <row r="46" spans="3:10">
      <c r="J46" s="1"/>
    </row>
    <row r="47" spans="3:10">
      <c r="C47" t="s">
        <v>20</v>
      </c>
    </row>
    <row r="60" spans="8:8">
      <c r="H60" s="7"/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4:Q38"/>
  <sheetViews>
    <sheetView topLeftCell="A17" zoomScaleNormal="100" workbookViewId="0">
      <selection activeCell="J22" sqref="J22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124</v>
      </c>
      <c r="D6" s="37"/>
      <c r="E6" s="37"/>
      <c r="F6" s="37"/>
      <c r="G6" s="37"/>
      <c r="H6" s="37"/>
      <c r="I6" s="37"/>
      <c r="J6" s="37"/>
    </row>
    <row r="9" spans="3:10">
      <c r="C9" s="4" t="s">
        <v>125</v>
      </c>
      <c r="J9" s="10">
        <f>'2019 June'!$J$22</f>
        <v>22405.480000000003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H14" s="7">
        <v>0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J18" s="6"/>
    </row>
    <row r="19" spans="3:17">
      <c r="H19" s="7">
        <v>0</v>
      </c>
      <c r="J19" s="6"/>
    </row>
    <row r="22" spans="3:17" ht="17.05">
      <c r="C22" s="4" t="s">
        <v>126</v>
      </c>
      <c r="D22" s="4"/>
      <c r="E22" s="4"/>
      <c r="F22" s="4"/>
      <c r="G22" s="4"/>
      <c r="H22" s="4"/>
      <c r="I22" s="9"/>
      <c r="J22" s="5">
        <f>SUM(J9)+SUM(H14:H15)-SUM(H19:H19)</f>
        <v>22405.480000000003</v>
      </c>
      <c r="N22" s="7"/>
      <c r="P22" s="12"/>
    </row>
    <row r="23" spans="3:17">
      <c r="P23" s="13"/>
      <c r="Q23" s="7"/>
    </row>
    <row r="24" spans="3:17">
      <c r="M24" s="17"/>
      <c r="P24" s="7"/>
      <c r="Q24" s="7"/>
    </row>
    <row r="25" spans="3:17">
      <c r="C25" s="4"/>
      <c r="L25" s="7"/>
    </row>
    <row r="26" spans="3:17">
      <c r="C26" s="4"/>
    </row>
    <row r="27" spans="3:17">
      <c r="C27" s="4" t="s">
        <v>18</v>
      </c>
      <c r="J27" s="9">
        <v>6859.61</v>
      </c>
    </row>
    <row r="28" spans="3:17">
      <c r="J28" s="7"/>
    </row>
    <row r="29" spans="3:17">
      <c r="C29" s="20" t="s">
        <v>113</v>
      </c>
      <c r="D29" s="20"/>
      <c r="E29" s="20"/>
      <c r="F29" s="20"/>
      <c r="G29" s="20"/>
      <c r="H29" s="20"/>
      <c r="I29" s="20"/>
      <c r="J29" s="21">
        <v>8.58</v>
      </c>
    </row>
    <row r="30" spans="3:17">
      <c r="J30" s="7"/>
    </row>
    <row r="31" spans="3:17" ht="17.05">
      <c r="C31" s="4" t="s">
        <v>49</v>
      </c>
      <c r="J31" s="8">
        <f>(J29+J27)</f>
        <v>6868.19</v>
      </c>
    </row>
    <row r="32" spans="3:17">
      <c r="J32" s="7"/>
    </row>
    <row r="33" spans="3:10">
      <c r="C33" s="4"/>
      <c r="J33" s="7"/>
    </row>
    <row r="34" spans="3:10">
      <c r="J34" s="1"/>
    </row>
    <row r="35" spans="3:10" ht="17.05">
      <c r="C35" s="4" t="s">
        <v>95</v>
      </c>
      <c r="D35" s="4"/>
      <c r="E35" s="4"/>
      <c r="F35" s="4"/>
      <c r="G35" s="4"/>
      <c r="H35" s="4"/>
      <c r="I35" s="4"/>
      <c r="J35" s="8">
        <f>'2019 April'!$J$50</f>
        <v>40.370000000000005</v>
      </c>
    </row>
    <row r="36" spans="3:10">
      <c r="J36" s="1"/>
    </row>
    <row r="37" spans="3:10">
      <c r="J37" s="1"/>
    </row>
    <row r="38" spans="3:10">
      <c r="C38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C4:Q38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120</v>
      </c>
      <c r="D6" s="37"/>
      <c r="E6" s="37"/>
      <c r="F6" s="37"/>
      <c r="G6" s="37"/>
      <c r="H6" s="37"/>
      <c r="I6" s="37"/>
      <c r="J6" s="37"/>
    </row>
    <row r="9" spans="3:10">
      <c r="C9" s="4" t="s">
        <v>123</v>
      </c>
      <c r="J9" s="10">
        <f>'2019 May '!$J$29</f>
        <v>21087.730000000003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D14" t="s">
        <v>121</v>
      </c>
      <c r="H14" s="7">
        <v>1317.75</v>
      </c>
      <c r="J14" s="6"/>
    </row>
    <row r="15" spans="3:10">
      <c r="D15" s="15"/>
      <c r="E15" s="15"/>
      <c r="F15" s="15"/>
      <c r="G15" s="15"/>
      <c r="H15" s="16"/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J18" s="6"/>
    </row>
    <row r="19" spans="3:17">
      <c r="H19" s="7">
        <v>0</v>
      </c>
      <c r="J19" s="6"/>
    </row>
    <row r="22" spans="3:17" ht="17.05">
      <c r="C22" s="4" t="s">
        <v>122</v>
      </c>
      <c r="D22" s="4"/>
      <c r="E22" s="4"/>
      <c r="F22" s="4"/>
      <c r="G22" s="4"/>
      <c r="H22" s="4"/>
      <c r="I22" s="9"/>
      <c r="J22" s="5">
        <f>SUM(J9)+SUM(H14:H15)-SUM(H19:H19)</f>
        <v>22405.480000000003</v>
      </c>
      <c r="N22" s="7"/>
      <c r="P22" s="12"/>
    </row>
    <row r="23" spans="3:17">
      <c r="P23" s="13"/>
      <c r="Q23" s="7"/>
    </row>
    <row r="24" spans="3:17">
      <c r="M24" s="17"/>
      <c r="P24" s="7"/>
      <c r="Q24" s="7"/>
    </row>
    <row r="25" spans="3:17">
      <c r="C25" s="4"/>
      <c r="L25" s="7"/>
    </row>
    <row r="26" spans="3:17">
      <c r="C26" s="4"/>
    </row>
    <row r="27" spans="3:17">
      <c r="C27" s="4" t="s">
        <v>18</v>
      </c>
      <c r="J27" s="9">
        <v>6859.61</v>
      </c>
    </row>
    <row r="28" spans="3:17">
      <c r="J28" s="7"/>
    </row>
    <row r="29" spans="3:17">
      <c r="C29" s="20" t="s">
        <v>113</v>
      </c>
      <c r="D29" s="20"/>
      <c r="E29" s="20"/>
      <c r="F29" s="20"/>
      <c r="G29" s="20"/>
      <c r="H29" s="20"/>
      <c r="I29" s="20"/>
      <c r="J29" s="21">
        <v>8.58</v>
      </c>
    </row>
    <row r="30" spans="3:17">
      <c r="J30" s="7"/>
    </row>
    <row r="31" spans="3:17" ht="17.05">
      <c r="C31" s="4" t="s">
        <v>49</v>
      </c>
      <c r="J31" s="8">
        <f>(J29+J27)</f>
        <v>6868.19</v>
      </c>
    </row>
    <row r="32" spans="3:17">
      <c r="J32" s="7"/>
    </row>
    <row r="33" spans="3:10">
      <c r="C33" s="4"/>
      <c r="J33" s="7"/>
    </row>
    <row r="34" spans="3:10">
      <c r="J34" s="1"/>
    </row>
    <row r="35" spans="3:10" ht="17.05">
      <c r="C35" s="4" t="s">
        <v>95</v>
      </c>
      <c r="D35" s="4"/>
      <c r="E35" s="4"/>
      <c r="F35" s="4"/>
      <c r="G35" s="4"/>
      <c r="H35" s="4"/>
      <c r="I35" s="4"/>
      <c r="J35" s="8">
        <f>'2019 April'!$J$50</f>
        <v>40.370000000000005</v>
      </c>
    </row>
    <row r="36" spans="3:10">
      <c r="J36" s="1"/>
    </row>
    <row r="37" spans="3:10">
      <c r="J37" s="1"/>
    </row>
    <row r="38" spans="3:10">
      <c r="C38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C4:Q43"/>
  <sheetViews>
    <sheetView topLeftCell="A13" zoomScaleNormal="100" workbookViewId="0">
      <selection activeCell="J29" sqref="J29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118</v>
      </c>
      <c r="D6" s="37"/>
      <c r="E6" s="37"/>
      <c r="F6" s="37"/>
      <c r="G6" s="37"/>
      <c r="H6" s="37"/>
      <c r="I6" s="37"/>
      <c r="J6" s="37"/>
    </row>
    <row r="9" spans="3:10">
      <c r="C9" s="4" t="s">
        <v>117</v>
      </c>
      <c r="J9" s="10">
        <f>'2019 April'!$J$37</f>
        <v>20562.730000000003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D14" s="15" t="s">
        <v>112</v>
      </c>
      <c r="E14" s="15"/>
      <c r="F14" s="15"/>
      <c r="G14" s="15"/>
      <c r="H14" s="16">
        <v>50</v>
      </c>
      <c r="J14" s="6"/>
    </row>
    <row r="15" spans="3:10">
      <c r="D15" s="15" t="s">
        <v>114</v>
      </c>
      <c r="E15" s="15"/>
      <c r="F15" s="15"/>
      <c r="G15" s="15"/>
      <c r="H15" s="16">
        <v>475</v>
      </c>
      <c r="I15" s="7"/>
      <c r="J15" s="6"/>
    </row>
    <row r="16" spans="3:10">
      <c r="H16" s="7"/>
      <c r="I16" s="7"/>
      <c r="J16" s="6"/>
    </row>
    <row r="17" spans="3:17">
      <c r="H17" s="7"/>
      <c r="I17" s="7"/>
      <c r="J17" s="6"/>
    </row>
    <row r="18" spans="3:17">
      <c r="C18" t="s">
        <v>14</v>
      </c>
      <c r="J18" s="6"/>
    </row>
    <row r="19" spans="3:17">
      <c r="H19" s="7">
        <v>0</v>
      </c>
      <c r="J19" s="6"/>
    </row>
    <row r="22" spans="3:17" ht="17.05">
      <c r="C22" s="4" t="s">
        <v>119</v>
      </c>
      <c r="D22" s="4"/>
      <c r="E22" s="4"/>
      <c r="F22" s="4"/>
      <c r="G22" s="4"/>
      <c r="H22" s="4"/>
      <c r="I22" s="9"/>
      <c r="J22" s="5">
        <f>SUM(J9)+SUM(H14:H15)-SUM(H19:H19)</f>
        <v>21087.730000000003</v>
      </c>
      <c r="N22" s="7"/>
      <c r="P22" s="12"/>
    </row>
    <row r="23" spans="3:17">
      <c r="P23" s="13"/>
      <c r="Q23" s="7"/>
    </row>
    <row r="24" spans="3:17">
      <c r="M24" s="17"/>
      <c r="P24" s="7"/>
      <c r="Q24" s="7"/>
    </row>
    <row r="25" spans="3:17">
      <c r="C25" s="4" t="s">
        <v>46</v>
      </c>
      <c r="J25" s="6">
        <v>0</v>
      </c>
      <c r="P25" s="7"/>
      <c r="Q25" s="7"/>
    </row>
    <row r="26" spans="3:17">
      <c r="C26" s="4"/>
      <c r="M26" s="1"/>
      <c r="O26" s="7"/>
    </row>
    <row r="27" spans="3:17">
      <c r="C27" s="4"/>
      <c r="D27" t="s">
        <v>47</v>
      </c>
    </row>
    <row r="28" spans="3:17">
      <c r="C28" s="4"/>
      <c r="O28" s="7"/>
    </row>
    <row r="29" spans="3:17" ht="17.05">
      <c r="C29" s="4" t="s">
        <v>17</v>
      </c>
      <c r="J29" s="8">
        <f>(J22+J25)</f>
        <v>21087.730000000003</v>
      </c>
      <c r="L29" s="7"/>
      <c r="O29" s="7"/>
    </row>
    <row r="30" spans="3:17">
      <c r="C30" s="4"/>
      <c r="L30" s="7"/>
    </row>
    <row r="31" spans="3:17">
      <c r="C31" s="4"/>
    </row>
    <row r="32" spans="3:17">
      <c r="C32" s="4" t="s">
        <v>18</v>
      </c>
      <c r="J32" s="9">
        <v>6859.61</v>
      </c>
    </row>
    <row r="33" spans="3:10">
      <c r="J33" s="7"/>
    </row>
    <row r="34" spans="3:10">
      <c r="C34" s="20" t="s">
        <v>113</v>
      </c>
      <c r="D34" s="20"/>
      <c r="E34" s="20"/>
      <c r="F34" s="20"/>
      <c r="G34" s="20"/>
      <c r="H34" s="20"/>
      <c r="I34" s="20"/>
      <c r="J34" s="21">
        <v>8.58</v>
      </c>
    </row>
    <row r="35" spans="3:10">
      <c r="J35" s="7"/>
    </row>
    <row r="36" spans="3:10" ht="17.05">
      <c r="C36" s="4" t="s">
        <v>49</v>
      </c>
      <c r="J36" s="8">
        <f>(J34+J32)</f>
        <v>6868.19</v>
      </c>
    </row>
    <row r="37" spans="3:10">
      <c r="J37" s="7"/>
    </row>
    <row r="38" spans="3:10">
      <c r="C38" s="4"/>
      <c r="J38" s="7"/>
    </row>
    <row r="39" spans="3:10">
      <c r="J39" s="1"/>
    </row>
    <row r="40" spans="3:10" ht="17.05">
      <c r="C40" s="4" t="s">
        <v>95</v>
      </c>
      <c r="D40" s="4"/>
      <c r="E40" s="4"/>
      <c r="F40" s="4"/>
      <c r="G40" s="4"/>
      <c r="H40" s="4"/>
      <c r="I40" s="4"/>
      <c r="J40" s="8">
        <f>'2019 April'!$J$50</f>
        <v>40.370000000000005</v>
      </c>
    </row>
    <row r="41" spans="3:10">
      <c r="J41" s="1"/>
    </row>
    <row r="42" spans="3:10">
      <c r="J42" s="1"/>
    </row>
    <row r="43" spans="3:10">
      <c r="C43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4:Q53"/>
  <sheetViews>
    <sheetView topLeftCell="A7" zoomScaleNormal="100" workbookViewId="0">
      <selection activeCell="M26" sqref="M26"/>
    </sheetView>
  </sheetViews>
  <sheetFormatPr defaultColWidth="8.88671875" defaultRowHeight="15.05"/>
  <cols>
    <col min="1" max="1" width="9" customWidth="1"/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10.44140625" bestFit="1" customWidth="1"/>
  </cols>
  <sheetData>
    <row r="4" spans="3:17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7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7" ht="18.350000000000001">
      <c r="C6" s="37" t="s">
        <v>102</v>
      </c>
      <c r="D6" s="37"/>
      <c r="E6" s="37"/>
      <c r="F6" s="37"/>
      <c r="G6" s="37"/>
      <c r="H6" s="37"/>
      <c r="I6" s="37"/>
      <c r="J6" s="37"/>
    </row>
    <row r="9" spans="3:17">
      <c r="C9" s="4" t="s">
        <v>115</v>
      </c>
      <c r="J9" s="10">
        <f>'2019 March'!$J$38</f>
        <v>26448.090000000004</v>
      </c>
    </row>
    <row r="11" spans="3:17">
      <c r="C11" t="s">
        <v>13</v>
      </c>
      <c r="J11" s="6"/>
    </row>
    <row r="12" spans="3:17" hidden="1">
      <c r="H12" s="7"/>
      <c r="J12" s="6"/>
    </row>
    <row r="13" spans="3:17">
      <c r="H13" s="7"/>
      <c r="J13" s="6"/>
    </row>
    <row r="14" spans="3:17">
      <c r="D14" t="s">
        <v>103</v>
      </c>
      <c r="H14" s="7">
        <v>2475</v>
      </c>
      <c r="J14" s="6"/>
      <c r="Q14" t="s">
        <v>93</v>
      </c>
    </row>
    <row r="15" spans="3:17">
      <c r="D15" t="s">
        <v>104</v>
      </c>
      <c r="H15" s="7">
        <v>2475</v>
      </c>
      <c r="J15" s="6"/>
    </row>
    <row r="16" spans="3:17">
      <c r="D16" t="s">
        <v>104</v>
      </c>
      <c r="H16" s="7">
        <v>100</v>
      </c>
      <c r="J16" s="6"/>
    </row>
    <row r="17" spans="1:17">
      <c r="D17" t="s">
        <v>104</v>
      </c>
      <c r="H17" s="7">
        <v>50</v>
      </c>
      <c r="I17" s="7"/>
      <c r="J17" s="6" t="s">
        <v>105</v>
      </c>
      <c r="L17" t="s">
        <v>105</v>
      </c>
    </row>
    <row r="18" spans="1:17">
      <c r="H18" s="18"/>
      <c r="J18" s="6"/>
    </row>
    <row r="19" spans="1:17">
      <c r="H19" s="7"/>
      <c r="I19" s="7"/>
      <c r="J19" s="6"/>
    </row>
    <row r="20" spans="1:17">
      <c r="H20" s="7"/>
      <c r="I20" s="7"/>
      <c r="J20" s="6"/>
    </row>
    <row r="21" spans="1:17">
      <c r="H21" s="7"/>
      <c r="I21" s="7"/>
      <c r="J21" s="6"/>
    </row>
    <row r="22" spans="1:17">
      <c r="C22" t="s">
        <v>14</v>
      </c>
      <c r="J22" s="6"/>
    </row>
    <row r="23" spans="1:17">
      <c r="D23" t="s">
        <v>109</v>
      </c>
      <c r="H23" s="7">
        <v>4.3600000000000003</v>
      </c>
      <c r="J23" s="6"/>
    </row>
    <row r="24" spans="1:17">
      <c r="A24" s="14"/>
      <c r="D24" s="40" t="s">
        <v>106</v>
      </c>
      <c r="E24" s="41"/>
      <c r="F24" s="41"/>
      <c r="G24" s="41"/>
      <c r="H24" s="16">
        <v>1350</v>
      </c>
      <c r="J24" s="6"/>
    </row>
    <row r="25" spans="1:17" ht="27.2" customHeight="1">
      <c r="A25" s="14"/>
      <c r="D25" s="42" t="s">
        <v>110</v>
      </c>
      <c r="E25" s="43"/>
      <c r="F25" s="43"/>
      <c r="G25" s="43"/>
      <c r="H25" s="19">
        <v>534</v>
      </c>
      <c r="J25" s="6"/>
      <c r="L25" s="7"/>
    </row>
    <row r="26" spans="1:17">
      <c r="A26" s="14"/>
      <c r="D26" s="15" t="s">
        <v>107</v>
      </c>
      <c r="E26" s="15"/>
      <c r="F26" s="15"/>
      <c r="G26" s="15"/>
      <c r="H26" s="16">
        <v>8825</v>
      </c>
      <c r="J26" s="6"/>
    </row>
    <row r="27" spans="1:17">
      <c r="A27" s="14"/>
      <c r="D27" s="15" t="s">
        <v>108</v>
      </c>
      <c r="E27" s="15"/>
      <c r="F27" s="15"/>
      <c r="G27" s="15"/>
      <c r="H27" s="16">
        <v>272</v>
      </c>
      <c r="I27" s="7">
        <f>SUM(H24:H27)</f>
        <v>10981</v>
      </c>
      <c r="J27" s="6"/>
      <c r="M27" s="7"/>
    </row>
    <row r="28" spans="1:17">
      <c r="H28" s="7"/>
    </row>
    <row r="30" spans="1:17" ht="17.05">
      <c r="C30" s="4" t="s">
        <v>116</v>
      </c>
      <c r="D30" s="4"/>
      <c r="E30" s="4"/>
      <c r="F30" s="4"/>
      <c r="G30" s="4"/>
      <c r="H30" s="4"/>
      <c r="I30" s="9"/>
      <c r="J30" s="5">
        <f>SUM(J9)+SUM(H14:H18)-SUM(H23:H27)</f>
        <v>20562.730000000003</v>
      </c>
      <c r="N30" s="7"/>
      <c r="P30" s="12"/>
    </row>
    <row r="31" spans="1:17">
      <c r="P31" s="13"/>
      <c r="Q31" s="7"/>
    </row>
    <row r="32" spans="1:17">
      <c r="M32" s="17"/>
      <c r="P32" s="7"/>
      <c r="Q32" s="7"/>
    </row>
    <row r="33" spans="3:17">
      <c r="C33" s="4" t="s">
        <v>46</v>
      </c>
      <c r="J33" s="6">
        <v>0</v>
      </c>
      <c r="P33" s="7"/>
      <c r="Q33" s="7"/>
    </row>
    <row r="34" spans="3:17">
      <c r="C34" s="4"/>
      <c r="M34" s="1"/>
      <c r="O34" s="7"/>
    </row>
    <row r="35" spans="3:17">
      <c r="C35" s="4"/>
      <c r="D35" t="s">
        <v>47</v>
      </c>
    </row>
    <row r="36" spans="3:17">
      <c r="C36" s="4"/>
      <c r="O36" s="7"/>
    </row>
    <row r="37" spans="3:17" ht="17.05">
      <c r="C37" s="4" t="s">
        <v>17</v>
      </c>
      <c r="J37" s="8">
        <f>(J30+J33)</f>
        <v>20562.730000000003</v>
      </c>
      <c r="L37" s="7"/>
      <c r="O37" s="7"/>
    </row>
    <row r="38" spans="3:17">
      <c r="C38" s="4"/>
      <c r="L38" s="7"/>
    </row>
    <row r="39" spans="3:17">
      <c r="C39" s="4"/>
    </row>
    <row r="40" spans="3:17">
      <c r="C40" s="4" t="s">
        <v>18</v>
      </c>
      <c r="J40" s="9">
        <v>6851.04</v>
      </c>
    </row>
    <row r="41" spans="3:17">
      <c r="J41" s="7"/>
    </row>
    <row r="42" spans="3:17">
      <c r="C42" t="s">
        <v>75</v>
      </c>
      <c r="J42" s="7">
        <v>8.57</v>
      </c>
    </row>
    <row r="43" spans="3:17">
      <c r="J43" s="7"/>
    </row>
    <row r="44" spans="3:17" ht="17.05">
      <c r="C44" s="4" t="s">
        <v>49</v>
      </c>
      <c r="J44" s="8">
        <f>(J42+J40)</f>
        <v>6859.61</v>
      </c>
    </row>
    <row r="45" spans="3:17">
      <c r="J45" s="7"/>
    </row>
    <row r="46" spans="3:17">
      <c r="C46" s="4"/>
      <c r="J46" s="7"/>
    </row>
    <row r="47" spans="3:17">
      <c r="C47" s="4" t="s">
        <v>19</v>
      </c>
      <c r="J47" s="9">
        <v>20.37</v>
      </c>
    </row>
    <row r="48" spans="3:17">
      <c r="C48" s="4"/>
      <c r="D48" t="s">
        <v>94</v>
      </c>
      <c r="H48" s="7">
        <v>20</v>
      </c>
      <c r="J48" s="1"/>
    </row>
    <row r="49" spans="3:10">
      <c r="J49" s="1"/>
    </row>
    <row r="50" spans="3:10" ht="17.05">
      <c r="C50" s="4" t="s">
        <v>95</v>
      </c>
      <c r="D50" s="4"/>
      <c r="E50" s="4"/>
      <c r="F50" s="4"/>
      <c r="G50" s="4"/>
      <c r="H50" s="4"/>
      <c r="I50" s="4"/>
      <c r="J50" s="8">
        <f>(J47+H48)</f>
        <v>40.370000000000005</v>
      </c>
    </row>
    <row r="51" spans="3:10">
      <c r="J51" s="1"/>
    </row>
    <row r="52" spans="3:10">
      <c r="J52" s="1"/>
    </row>
    <row r="53" spans="3:10">
      <c r="C53" t="s">
        <v>20</v>
      </c>
    </row>
  </sheetData>
  <mergeCells count="5">
    <mergeCell ref="C4:J4"/>
    <mergeCell ref="C5:J5"/>
    <mergeCell ref="C6:J6"/>
    <mergeCell ref="D24:G24"/>
    <mergeCell ref="D25:G25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4:Q66"/>
  <sheetViews>
    <sheetView zoomScaleNormal="100" workbookViewId="0">
      <selection activeCell="D14" sqref="D14"/>
    </sheetView>
  </sheetViews>
  <sheetFormatPr defaultColWidth="8.88671875" defaultRowHeight="15.05"/>
  <cols>
    <col min="1" max="1" width="9" customWidth="1"/>
    <col min="6" max="6" width="17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  <col min="14" max="14" width="9" customWidth="1"/>
    <col min="15" max="15" width="9.88671875" bestFit="1" customWidth="1"/>
  </cols>
  <sheetData>
    <row r="4" spans="3:17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7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7" ht="18.350000000000001">
      <c r="C6" s="37" t="s">
        <v>81</v>
      </c>
      <c r="D6" s="37"/>
      <c r="E6" s="37"/>
      <c r="F6" s="37"/>
      <c r="G6" s="37"/>
      <c r="H6" s="37"/>
      <c r="I6" s="37"/>
      <c r="J6" s="37"/>
    </row>
    <row r="9" spans="3:17">
      <c r="C9" s="4" t="s">
        <v>98</v>
      </c>
      <c r="J9" s="10">
        <f>'Feb 2019 '!$J$22</f>
        <v>30260.36</v>
      </c>
    </row>
    <row r="11" spans="3:17">
      <c r="C11" t="s">
        <v>13</v>
      </c>
      <c r="J11" s="6"/>
    </row>
    <row r="12" spans="3:17" hidden="1">
      <c r="H12" s="7"/>
      <c r="J12" s="6"/>
    </row>
    <row r="13" spans="3:17">
      <c r="D13" t="s">
        <v>96</v>
      </c>
      <c r="H13" s="7">
        <v>500</v>
      </c>
      <c r="J13" s="6"/>
    </row>
    <row r="14" spans="3:17">
      <c r="D14" t="s">
        <v>91</v>
      </c>
      <c r="H14" s="7">
        <v>950</v>
      </c>
      <c r="J14" s="6"/>
      <c r="Q14" t="s">
        <v>93</v>
      </c>
    </row>
    <row r="15" spans="3:17">
      <c r="D15" t="s">
        <v>91</v>
      </c>
      <c r="H15" s="7">
        <v>950</v>
      </c>
      <c r="J15" s="6"/>
    </row>
    <row r="16" spans="3:17">
      <c r="D16" t="s">
        <v>92</v>
      </c>
      <c r="H16" s="7">
        <v>2850</v>
      </c>
      <c r="J16" s="6"/>
    </row>
    <row r="17" spans="1:12">
      <c r="D17" t="s">
        <v>92</v>
      </c>
      <c r="H17" s="7">
        <v>1425</v>
      </c>
      <c r="J17" s="6"/>
    </row>
    <row r="18" spans="1:12">
      <c r="D18" t="s">
        <v>92</v>
      </c>
      <c r="H18" s="7">
        <v>950</v>
      </c>
      <c r="J18" s="6">
        <f>SUM(H14:H18)</f>
        <v>7125</v>
      </c>
    </row>
    <row r="19" spans="1:12">
      <c r="D19" t="s">
        <v>100</v>
      </c>
      <c r="H19" s="7">
        <v>1964.26</v>
      </c>
      <c r="I19" s="7"/>
      <c r="J19" s="6"/>
    </row>
    <row r="20" spans="1:12">
      <c r="D20" t="s">
        <v>99</v>
      </c>
      <c r="H20" s="7">
        <v>10.32</v>
      </c>
      <c r="I20" s="7"/>
      <c r="J20" s="6"/>
    </row>
    <row r="21" spans="1:12">
      <c r="H21" s="7"/>
      <c r="I21" s="7"/>
      <c r="J21" s="6"/>
    </row>
    <row r="22" spans="1:12">
      <c r="C22" t="s">
        <v>14</v>
      </c>
      <c r="J22" s="6"/>
    </row>
    <row r="23" spans="1:12">
      <c r="A23" s="14"/>
      <c r="D23" s="15" t="s">
        <v>84</v>
      </c>
      <c r="E23" s="15"/>
      <c r="F23" s="15"/>
      <c r="G23" s="15"/>
      <c r="H23" s="16">
        <v>44.77</v>
      </c>
      <c r="J23" s="6"/>
    </row>
    <row r="24" spans="1:12">
      <c r="A24" s="14"/>
      <c r="D24" s="15" t="s">
        <v>85</v>
      </c>
      <c r="E24" s="15"/>
      <c r="F24" s="15"/>
      <c r="G24" s="15"/>
      <c r="H24" s="16">
        <v>1625</v>
      </c>
      <c r="J24" s="6"/>
      <c r="L24" s="7"/>
    </row>
    <row r="25" spans="1:12">
      <c r="A25" s="14"/>
      <c r="D25" s="15" t="s">
        <v>86</v>
      </c>
      <c r="E25" s="15"/>
      <c r="F25" s="15"/>
      <c r="G25" s="15"/>
      <c r="H25" s="16">
        <v>1400</v>
      </c>
      <c r="J25" s="6"/>
    </row>
    <row r="26" spans="1:12">
      <c r="A26" s="14"/>
      <c r="D26" s="15" t="s">
        <v>87</v>
      </c>
      <c r="E26" s="15"/>
      <c r="F26" s="15"/>
      <c r="G26" s="15"/>
      <c r="H26" s="16">
        <v>1675</v>
      </c>
      <c r="I26" s="7"/>
      <c r="J26" s="6"/>
    </row>
    <row r="27" spans="1:12">
      <c r="D27" s="15" t="s">
        <v>101</v>
      </c>
      <c r="E27" s="15"/>
      <c r="F27" s="15"/>
      <c r="G27" s="15"/>
      <c r="H27" s="16">
        <v>2814.89</v>
      </c>
      <c r="J27" s="6"/>
    </row>
    <row r="28" spans="1:12">
      <c r="A28" s="14"/>
      <c r="D28" s="15" t="s">
        <v>88</v>
      </c>
      <c r="E28" s="15"/>
      <c r="F28" s="15"/>
      <c r="G28" s="15"/>
      <c r="H28" s="16">
        <v>1400</v>
      </c>
      <c r="J28" s="6"/>
    </row>
    <row r="29" spans="1:12">
      <c r="A29" s="14"/>
      <c r="D29" s="15" t="s">
        <v>89</v>
      </c>
      <c r="E29" s="15"/>
      <c r="F29" s="15"/>
      <c r="G29" s="15"/>
      <c r="H29" s="16">
        <v>1500</v>
      </c>
      <c r="J29" s="6"/>
    </row>
    <row r="30" spans="1:12">
      <c r="A30" s="14"/>
      <c r="D30" s="15" t="s">
        <v>90</v>
      </c>
      <c r="E30" s="15"/>
      <c r="F30" s="15"/>
      <c r="G30" s="15"/>
      <c r="H30" s="16">
        <v>1975</v>
      </c>
      <c r="J30" s="6"/>
    </row>
    <row r="31" spans="1:12">
      <c r="D31" s="15" t="s">
        <v>83</v>
      </c>
      <c r="E31" s="15"/>
      <c r="F31" s="15"/>
      <c r="G31" s="15"/>
      <c r="H31" s="16">
        <v>5.96</v>
      </c>
      <c r="J31" s="6"/>
    </row>
    <row r="32" spans="1:12">
      <c r="D32" s="15" t="s">
        <v>83</v>
      </c>
      <c r="E32" s="15"/>
      <c r="F32" s="15"/>
      <c r="G32" s="15"/>
      <c r="H32" s="16">
        <v>85.39</v>
      </c>
      <c r="J32" s="6"/>
    </row>
    <row r="33" spans="3:17">
      <c r="D33" s="15" t="s">
        <v>82</v>
      </c>
      <c r="E33" s="15"/>
      <c r="F33" s="15"/>
      <c r="G33" s="15"/>
      <c r="H33" s="16">
        <v>25.52</v>
      </c>
      <c r="J33" s="6"/>
    </row>
    <row r="34" spans="3:17">
      <c r="D34" s="15" t="s">
        <v>83</v>
      </c>
      <c r="E34" s="15"/>
      <c r="F34" s="15"/>
      <c r="G34" s="15"/>
      <c r="H34" s="16">
        <v>10.32</v>
      </c>
      <c r="I34" s="7"/>
      <c r="J34" s="6"/>
    </row>
    <row r="35" spans="3:17" ht="24.4" customHeight="1">
      <c r="D35" s="44" t="s">
        <v>111</v>
      </c>
      <c r="E35" s="41"/>
      <c r="F35" s="41"/>
      <c r="G35" s="15"/>
      <c r="H35" s="16">
        <v>850</v>
      </c>
      <c r="I35" s="7"/>
      <c r="J35" s="6"/>
    </row>
    <row r="36" spans="3:17">
      <c r="H36" s="7"/>
    </row>
    <row r="38" spans="3:17" ht="17.05">
      <c r="C38" s="4" t="s">
        <v>97</v>
      </c>
      <c r="D38" s="4"/>
      <c r="E38" s="4"/>
      <c r="F38" s="4"/>
      <c r="G38" s="4"/>
      <c r="H38" s="4"/>
      <c r="I38" s="9"/>
      <c r="J38" s="5">
        <f>SUM(J9)+SUM(H13:H20)-SUM(H23:H35)</f>
        <v>26448.090000000004</v>
      </c>
      <c r="M38" s="7">
        <f>'2019 March'!$J$38</f>
        <v>26448.090000000004</v>
      </c>
      <c r="N38" s="7">
        <f>'2019 March'!$H$35</f>
        <v>850</v>
      </c>
      <c r="O38" s="7">
        <f>(M38+N38)</f>
        <v>27298.090000000004</v>
      </c>
      <c r="P38" s="12">
        <v>30519.66</v>
      </c>
      <c r="Q38">
        <v>27293.73</v>
      </c>
    </row>
    <row r="39" spans="3:17">
      <c r="O39">
        <v>4.3600000000000003</v>
      </c>
      <c r="P39" s="13">
        <f>(P38-J38)</f>
        <v>4071.5699999999961</v>
      </c>
      <c r="Q39" s="7"/>
    </row>
    <row r="40" spans="3:17">
      <c r="P40" s="7"/>
      <c r="Q40" s="7"/>
    </row>
    <row r="41" spans="3:17">
      <c r="C41" s="4" t="s">
        <v>46</v>
      </c>
      <c r="J41" s="6">
        <v>0</v>
      </c>
      <c r="O41" s="7">
        <f>(O38+O39)</f>
        <v>27302.450000000004</v>
      </c>
      <c r="P41" s="7"/>
      <c r="Q41" s="7">
        <f>(O41-Q38)</f>
        <v>8.7200000000048021</v>
      </c>
    </row>
    <row r="42" spans="3:17">
      <c r="C42" s="4"/>
    </row>
    <row r="43" spans="3:17">
      <c r="C43" s="4"/>
      <c r="D43" t="s">
        <v>47</v>
      </c>
    </row>
    <row r="44" spans="3:17">
      <c r="C44" s="4"/>
    </row>
    <row r="45" spans="3:17" ht="17.05">
      <c r="C45" s="4" t="s">
        <v>17</v>
      </c>
      <c r="J45" s="8">
        <f>(J38+J41)</f>
        <v>26448.090000000004</v>
      </c>
    </row>
    <row r="46" spans="3:17">
      <c r="C46" s="4"/>
    </row>
    <row r="47" spans="3:17">
      <c r="C47" s="4"/>
    </row>
    <row r="48" spans="3:17">
      <c r="C48" s="4" t="s">
        <v>18</v>
      </c>
      <c r="J48" s="9">
        <v>6851.04</v>
      </c>
    </row>
    <row r="49" spans="3:10">
      <c r="J49" s="7"/>
    </row>
    <row r="50" spans="3:10">
      <c r="C50" t="s">
        <v>75</v>
      </c>
      <c r="J50" s="7">
        <v>8.57</v>
      </c>
    </row>
    <row r="51" spans="3:10">
      <c r="J51" s="7"/>
    </row>
    <row r="52" spans="3:10" ht="17.05">
      <c r="C52" s="4" t="s">
        <v>49</v>
      </c>
      <c r="J52" s="8">
        <f>(J50+J48)</f>
        <v>6859.61</v>
      </c>
    </row>
    <row r="53" spans="3:10">
      <c r="J53" s="7"/>
    </row>
    <row r="54" spans="3:10">
      <c r="C54" s="4"/>
      <c r="J54" s="7"/>
    </row>
    <row r="55" spans="3:10">
      <c r="C55" s="4" t="s">
        <v>19</v>
      </c>
      <c r="J55" s="9">
        <v>20.37</v>
      </c>
    </row>
    <row r="56" spans="3:10">
      <c r="C56" s="4"/>
      <c r="D56" t="s">
        <v>94</v>
      </c>
      <c r="H56" s="7">
        <v>20</v>
      </c>
      <c r="J56" s="1"/>
    </row>
    <row r="57" spans="3:10">
      <c r="J57" s="1"/>
    </row>
    <row r="58" spans="3:10" ht="17.05">
      <c r="C58" s="4" t="s">
        <v>95</v>
      </c>
      <c r="D58" s="4"/>
      <c r="E58" s="4"/>
      <c r="F58" s="4"/>
      <c r="G58" s="4"/>
      <c r="H58" s="4"/>
      <c r="I58" s="4"/>
      <c r="J58" s="8">
        <f>(J55+H56)</f>
        <v>40.370000000000005</v>
      </c>
    </row>
    <row r="59" spans="3:10">
      <c r="J59" s="1"/>
    </row>
    <row r="60" spans="3:10">
      <c r="J60" s="1"/>
    </row>
    <row r="61" spans="3:10">
      <c r="C61" t="s">
        <v>20</v>
      </c>
    </row>
    <row r="66" spans="10:10">
      <c r="J66" s="7"/>
    </row>
  </sheetData>
  <mergeCells count="4">
    <mergeCell ref="C4:J4"/>
    <mergeCell ref="C5:J5"/>
    <mergeCell ref="C6:J6"/>
    <mergeCell ref="D35:F35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C4:Q42"/>
  <sheetViews>
    <sheetView zoomScaleNormal="100" workbookViewId="0">
      <selection activeCell="D12" sqref="D12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72</v>
      </c>
      <c r="D6" s="37"/>
      <c r="E6" s="37"/>
      <c r="F6" s="37"/>
      <c r="G6" s="37"/>
      <c r="H6" s="37"/>
      <c r="I6" s="37"/>
      <c r="J6" s="37"/>
    </row>
    <row r="9" spans="3:10">
      <c r="C9" s="4" t="s">
        <v>76</v>
      </c>
      <c r="J9" s="10">
        <f>'Jan 2019'!$J$26</f>
        <v>31034.82</v>
      </c>
    </row>
    <row r="11" spans="3:10">
      <c r="C11" t="s">
        <v>13</v>
      </c>
      <c r="J11" s="6"/>
    </row>
    <row r="12" spans="3:10">
      <c r="D12" t="s">
        <v>78</v>
      </c>
      <c r="H12" s="7">
        <v>1172.25</v>
      </c>
      <c r="J12" s="6"/>
    </row>
    <row r="13" spans="3:10">
      <c r="D13" t="s">
        <v>79</v>
      </c>
      <c r="H13" s="7">
        <v>500</v>
      </c>
      <c r="J13" s="6"/>
    </row>
    <row r="14" spans="3:10">
      <c r="H14" s="7"/>
      <c r="J14" s="6"/>
    </row>
    <row r="16" spans="3:10">
      <c r="C16" t="s">
        <v>14</v>
      </c>
      <c r="J16" s="6"/>
    </row>
    <row r="17" spans="3:17">
      <c r="D17" t="s">
        <v>74</v>
      </c>
      <c r="H17" s="7">
        <v>837.41</v>
      </c>
      <c r="J17" s="6"/>
    </row>
    <row r="18" spans="3:17">
      <c r="D18" t="s">
        <v>73</v>
      </c>
      <c r="H18" s="7">
        <v>850</v>
      </c>
    </row>
    <row r="19" spans="3:17">
      <c r="D19" t="s">
        <v>80</v>
      </c>
      <c r="H19" s="7">
        <v>759.3</v>
      </c>
    </row>
    <row r="20" spans="3:17">
      <c r="H20" s="7"/>
    </row>
    <row r="22" spans="3:17" ht="17.05">
      <c r="C22" s="4" t="s">
        <v>77</v>
      </c>
      <c r="D22" s="4"/>
      <c r="E22" s="4"/>
      <c r="F22" s="4"/>
      <c r="G22" s="4"/>
      <c r="H22" s="4"/>
      <c r="I22" s="9"/>
      <c r="J22" s="5">
        <f>SUM(H12+H13+'2019 March'!H12+J9-H17-H18-H19)</f>
        <v>30260.36</v>
      </c>
      <c r="P22" s="12">
        <v>30519.66</v>
      </c>
    </row>
    <row r="23" spans="3:17">
      <c r="P23" s="13">
        <f>(P22-J22)</f>
        <v>259.29999999999927</v>
      </c>
      <c r="Q23" s="7"/>
    </row>
    <row r="24" spans="3:17">
      <c r="P24" s="7"/>
      <c r="Q24" s="7"/>
    </row>
    <row r="25" spans="3:17">
      <c r="C25" s="4" t="s">
        <v>46</v>
      </c>
      <c r="J25" s="6">
        <v>0</v>
      </c>
      <c r="P25" s="7"/>
      <c r="Q25" s="7"/>
    </row>
    <row r="26" spans="3:17">
      <c r="C26" s="4"/>
    </row>
    <row r="27" spans="3:17">
      <c r="C27" s="4"/>
      <c r="D27" t="s">
        <v>47</v>
      </c>
    </row>
    <row r="28" spans="3:17">
      <c r="C28" s="4"/>
    </row>
    <row r="29" spans="3:17" ht="17.05">
      <c r="C29" s="4" t="s">
        <v>17</v>
      </c>
      <c r="J29" s="8">
        <f>(J22+J25)</f>
        <v>30260.36</v>
      </c>
    </row>
    <row r="30" spans="3:17">
      <c r="C30" s="4"/>
    </row>
    <row r="31" spans="3:17">
      <c r="C31" s="4"/>
    </row>
    <row r="32" spans="3:17">
      <c r="C32" s="4" t="s">
        <v>18</v>
      </c>
      <c r="J32" s="9">
        <v>6851.04</v>
      </c>
    </row>
    <row r="33" spans="3:10">
      <c r="J33" s="7"/>
    </row>
    <row r="34" spans="3:10">
      <c r="C34" t="s">
        <v>75</v>
      </c>
      <c r="J34" s="7">
        <v>8.57</v>
      </c>
    </row>
    <row r="35" spans="3:10">
      <c r="J35" s="7"/>
    </row>
    <row r="36" spans="3:10">
      <c r="C36" s="4" t="s">
        <v>49</v>
      </c>
      <c r="J36" s="9">
        <f>(J34+J32)</f>
        <v>6859.61</v>
      </c>
    </row>
    <row r="37" spans="3:10">
      <c r="J37" s="7"/>
    </row>
    <row r="38" spans="3:10">
      <c r="C38" s="4"/>
      <c r="J38" s="7"/>
    </row>
    <row r="39" spans="3:10">
      <c r="C39" s="4" t="s">
        <v>19</v>
      </c>
      <c r="J39" s="9">
        <v>20.37</v>
      </c>
    </row>
    <row r="40" spans="3:10">
      <c r="C40" s="4"/>
      <c r="J40" s="1"/>
    </row>
    <row r="41" spans="3:10">
      <c r="J41" s="1"/>
    </row>
    <row r="42" spans="3:10">
      <c r="C42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C4:Q35"/>
  <sheetViews>
    <sheetView topLeftCell="A7" zoomScaleNormal="100" workbookViewId="0">
      <selection activeCell="H37" sqref="H37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68</v>
      </c>
      <c r="D6" s="37"/>
      <c r="E6" s="37"/>
      <c r="F6" s="37"/>
      <c r="G6" s="37"/>
      <c r="H6" s="37"/>
      <c r="I6" s="37"/>
      <c r="J6" s="37"/>
    </row>
    <row r="9" spans="3:10">
      <c r="C9" s="4" t="s">
        <v>66</v>
      </c>
      <c r="J9" s="6">
        <f>'Dec 2018'!$J$18</f>
        <v>29609.82</v>
      </c>
    </row>
    <row r="11" spans="3:10">
      <c r="C11" t="s">
        <v>13</v>
      </c>
      <c r="J11" s="6"/>
    </row>
    <row r="12" spans="3:10">
      <c r="H12" s="7"/>
      <c r="J12" s="6"/>
    </row>
    <row r="13" spans="3:10">
      <c r="D13" t="s">
        <v>70</v>
      </c>
      <c r="H13" s="7">
        <v>475</v>
      </c>
      <c r="J13" s="6"/>
    </row>
    <row r="14" spans="3:10">
      <c r="D14" t="s">
        <v>71</v>
      </c>
      <c r="H14" s="7">
        <v>950</v>
      </c>
      <c r="J14" s="6"/>
    </row>
    <row r="16" spans="3:10">
      <c r="C16" t="s">
        <v>14</v>
      </c>
      <c r="J16" s="6"/>
    </row>
    <row r="17" spans="3:17">
      <c r="H17" s="7">
        <v>0</v>
      </c>
    </row>
    <row r="19" spans="3:17" ht="17.05">
      <c r="C19" s="4" t="s">
        <v>69</v>
      </c>
      <c r="D19" s="4"/>
      <c r="E19" s="4"/>
      <c r="F19" s="4"/>
      <c r="G19" s="4"/>
      <c r="H19" s="4"/>
      <c r="I19" s="9"/>
      <c r="J19" s="5">
        <f>SUM(H13+H14+J9-H17)</f>
        <v>31034.82</v>
      </c>
    </row>
    <row r="20" spans="3:17">
      <c r="P20" s="7"/>
      <c r="Q20" s="7"/>
    </row>
    <row r="21" spans="3:17">
      <c r="P21" s="7"/>
      <c r="Q21" s="7"/>
    </row>
    <row r="22" spans="3:17">
      <c r="C22" s="4" t="s">
        <v>46</v>
      </c>
      <c r="J22" s="6">
        <v>0</v>
      </c>
      <c r="P22" s="7"/>
      <c r="Q22" s="7"/>
    </row>
    <row r="23" spans="3:17">
      <c r="C23" s="4"/>
    </row>
    <row r="24" spans="3:17">
      <c r="C24" s="4"/>
      <c r="D24" t="s">
        <v>47</v>
      </c>
    </row>
    <row r="25" spans="3:17">
      <c r="C25" s="4"/>
    </row>
    <row r="26" spans="3:17" ht="17.05">
      <c r="C26" s="4" t="s">
        <v>17</v>
      </c>
      <c r="J26" s="8">
        <f>(J19+J22)</f>
        <v>31034.82</v>
      </c>
    </row>
    <row r="27" spans="3:17">
      <c r="C27" s="4"/>
    </row>
    <row r="28" spans="3:17">
      <c r="C28" s="4"/>
    </row>
    <row r="29" spans="3:17">
      <c r="C29" s="4" t="s">
        <v>18</v>
      </c>
      <c r="J29" s="9">
        <v>6851.04</v>
      </c>
    </row>
    <row r="30" spans="3:17">
      <c r="J30" s="7"/>
    </row>
    <row r="31" spans="3:17">
      <c r="C31" s="4"/>
      <c r="J31" s="7"/>
    </row>
    <row r="32" spans="3:17">
      <c r="C32" s="4" t="s">
        <v>19</v>
      </c>
      <c r="J32" s="9">
        <v>20.37</v>
      </c>
    </row>
    <row r="33" spans="3:10">
      <c r="C33" s="4"/>
      <c r="J33" s="1"/>
    </row>
    <row r="34" spans="3:10">
      <c r="J34" s="1"/>
    </row>
    <row r="35" spans="3:10">
      <c r="C35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C4:Q34"/>
  <sheetViews>
    <sheetView topLeftCell="A4" zoomScaleNormal="100" workbookViewId="0">
      <selection activeCell="M17" sqref="M17:M18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63</v>
      </c>
      <c r="D6" s="37"/>
      <c r="E6" s="37"/>
      <c r="F6" s="37"/>
      <c r="G6" s="37"/>
      <c r="H6" s="37"/>
      <c r="I6" s="37"/>
      <c r="J6" s="37"/>
    </row>
    <row r="9" spans="3:10">
      <c r="C9" s="4" t="s">
        <v>65</v>
      </c>
      <c r="J9" s="6">
        <f>'Nov 2018'!$J$27</f>
        <v>29120.82</v>
      </c>
    </row>
    <row r="11" spans="3:10">
      <c r="C11" t="s">
        <v>13</v>
      </c>
      <c r="J11" s="6"/>
    </row>
    <row r="12" spans="3:10">
      <c r="H12" s="7"/>
      <c r="J12" s="6"/>
    </row>
    <row r="13" spans="3:10">
      <c r="D13" t="s">
        <v>67</v>
      </c>
      <c r="H13" s="7">
        <v>500</v>
      </c>
      <c r="J13" s="6"/>
    </row>
    <row r="15" spans="3:10">
      <c r="C15" t="s">
        <v>14</v>
      </c>
      <c r="J15" s="6"/>
    </row>
    <row r="16" spans="3:10">
      <c r="D16" t="s">
        <v>64</v>
      </c>
      <c r="H16" s="7">
        <v>11</v>
      </c>
    </row>
    <row r="18" spans="3:17" ht="17.05">
      <c r="C18" s="4" t="s">
        <v>66</v>
      </c>
      <c r="D18" s="4"/>
      <c r="E18" s="4"/>
      <c r="F18" s="4"/>
      <c r="G18" s="4"/>
      <c r="H18" s="4"/>
      <c r="I18" s="9"/>
      <c r="J18" s="5">
        <f>SUM(H13+J9-H16)</f>
        <v>29609.82</v>
      </c>
    </row>
    <row r="19" spans="3:17">
      <c r="P19" s="7"/>
      <c r="Q19" s="7"/>
    </row>
    <row r="20" spans="3:17">
      <c r="P20" s="7"/>
      <c r="Q20" s="7"/>
    </row>
    <row r="21" spans="3:17">
      <c r="C21" s="4" t="s">
        <v>46</v>
      </c>
      <c r="J21" s="6">
        <v>0</v>
      </c>
      <c r="P21" s="7"/>
      <c r="Q21" s="7"/>
    </row>
    <row r="22" spans="3:17">
      <c r="C22" s="4"/>
    </row>
    <row r="23" spans="3:17">
      <c r="C23" s="4"/>
      <c r="D23" t="s">
        <v>47</v>
      </c>
    </row>
    <row r="24" spans="3:17">
      <c r="C24" s="4"/>
    </row>
    <row r="25" spans="3:17" ht="17.05">
      <c r="C25" s="4" t="s">
        <v>17</v>
      </c>
      <c r="J25" s="8">
        <f>(J18+J21)</f>
        <v>29609.82</v>
      </c>
    </row>
    <row r="26" spans="3:17">
      <c r="C26" s="4"/>
    </row>
    <row r="27" spans="3:17">
      <c r="C27" s="4"/>
    </row>
    <row r="28" spans="3:17">
      <c r="C28" s="4" t="s">
        <v>18</v>
      </c>
      <c r="J28" s="9">
        <v>6851.04</v>
      </c>
    </row>
    <row r="29" spans="3:17">
      <c r="J29" s="7"/>
    </row>
    <row r="30" spans="3:17">
      <c r="C30" s="4"/>
      <c r="J30" s="7"/>
    </row>
    <row r="31" spans="3:17">
      <c r="C31" s="4" t="s">
        <v>19</v>
      </c>
      <c r="J31" s="9">
        <v>20.37</v>
      </c>
    </row>
    <row r="32" spans="3:17">
      <c r="C32" s="4"/>
      <c r="J32" s="1"/>
    </row>
    <row r="33" spans="3:10">
      <c r="J33" s="1"/>
    </row>
    <row r="34" spans="3:10">
      <c r="C34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C4:Q36"/>
  <sheetViews>
    <sheetView zoomScaleNormal="100" workbookViewId="0">
      <selection activeCell="J27" sqref="J27"/>
    </sheetView>
  </sheetViews>
  <sheetFormatPr defaultColWidth="8.88671875" defaultRowHeight="15.05"/>
  <cols>
    <col min="6" max="6" width="11.109375" customWidth="1"/>
    <col min="7" max="7" width="13.6640625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56</v>
      </c>
      <c r="D6" s="37"/>
      <c r="E6" s="37"/>
      <c r="F6" s="37"/>
      <c r="G6" s="37"/>
      <c r="H6" s="37"/>
      <c r="I6" s="37"/>
      <c r="J6" s="37"/>
    </row>
    <row r="9" spans="3:10">
      <c r="C9" s="4" t="s">
        <v>57</v>
      </c>
      <c r="J9" s="6">
        <v>24623.62</v>
      </c>
    </row>
    <row r="11" spans="3:10">
      <c r="C11" t="s">
        <v>13</v>
      </c>
      <c r="J11" s="6"/>
    </row>
    <row r="12" spans="3:10">
      <c r="D12" t="s">
        <v>58</v>
      </c>
      <c r="H12" s="7">
        <v>918.95</v>
      </c>
      <c r="J12" s="6"/>
    </row>
    <row r="13" spans="3:10">
      <c r="D13" t="s">
        <v>59</v>
      </c>
      <c r="H13" s="7">
        <v>152</v>
      </c>
      <c r="J13" s="6"/>
    </row>
    <row r="14" spans="3:10">
      <c r="D14" t="s">
        <v>60</v>
      </c>
      <c r="H14" s="7">
        <v>3396.25</v>
      </c>
      <c r="J14" s="6"/>
    </row>
    <row r="15" spans="3:10">
      <c r="D15" t="s">
        <v>61</v>
      </c>
      <c r="H15" s="7">
        <v>30</v>
      </c>
      <c r="J15" s="6"/>
    </row>
    <row r="17" spans="3:17">
      <c r="C17" t="s">
        <v>14</v>
      </c>
      <c r="J17" s="6">
        <v>0</v>
      </c>
    </row>
    <row r="20" spans="3:17" ht="17.05">
      <c r="C20" s="4" t="s">
        <v>62</v>
      </c>
      <c r="D20" s="4"/>
      <c r="E20" s="4"/>
      <c r="F20" s="4"/>
      <c r="G20" s="4"/>
      <c r="H20" s="4"/>
      <c r="I20" s="9"/>
      <c r="J20" s="5">
        <f>SUM(J9+H12+H13+H14+H15+J17+J1)</f>
        <v>29120.82</v>
      </c>
    </row>
    <row r="21" spans="3:17">
      <c r="P21" s="7"/>
      <c r="Q21" s="7"/>
    </row>
    <row r="22" spans="3:17">
      <c r="P22" s="7"/>
      <c r="Q22" s="7"/>
    </row>
    <row r="23" spans="3:17">
      <c r="C23" s="4" t="s">
        <v>46</v>
      </c>
      <c r="J23" s="6">
        <v>0</v>
      </c>
      <c r="P23" s="7"/>
      <c r="Q23" s="7"/>
    </row>
    <row r="24" spans="3:17">
      <c r="C24" s="4"/>
    </row>
    <row r="25" spans="3:17">
      <c r="C25" s="4"/>
      <c r="D25" t="s">
        <v>47</v>
      </c>
    </row>
    <row r="26" spans="3:17">
      <c r="C26" s="4"/>
    </row>
    <row r="27" spans="3:17" ht="17.05">
      <c r="C27" s="4" t="s">
        <v>17</v>
      </c>
      <c r="J27" s="8">
        <f>(J20+J23)</f>
        <v>29120.82</v>
      </c>
    </row>
    <row r="28" spans="3:17">
      <c r="C28" s="4"/>
    </row>
    <row r="29" spans="3:17">
      <c r="C29" s="4"/>
    </row>
    <row r="30" spans="3:17">
      <c r="C30" s="4" t="s">
        <v>18</v>
      </c>
      <c r="J30" s="9">
        <v>6851.04</v>
      </c>
    </row>
    <row r="31" spans="3:17">
      <c r="J31" s="7"/>
    </row>
    <row r="32" spans="3:17">
      <c r="C32" s="4"/>
      <c r="J32" s="7"/>
    </row>
    <row r="33" spans="3:10">
      <c r="C33" s="4" t="s">
        <v>19</v>
      </c>
      <c r="J33" s="9">
        <v>20.37</v>
      </c>
    </row>
    <row r="34" spans="3:10">
      <c r="C34" s="4"/>
      <c r="J34" s="1"/>
    </row>
    <row r="35" spans="3:10">
      <c r="J35" s="1"/>
    </row>
    <row r="36" spans="3:10">
      <c r="C36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71D7-8C0B-4BA4-96BB-C07740A2DBE2}">
  <sheetPr>
    <pageSetUpPr fitToPage="1"/>
  </sheetPr>
  <dimension ref="C4:O52"/>
  <sheetViews>
    <sheetView zoomScaleNormal="100" workbookViewId="0">
      <selection activeCell="J21" sqref="J21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344</v>
      </c>
      <c r="D6" s="37"/>
      <c r="E6" s="37"/>
      <c r="F6" s="37"/>
      <c r="G6" s="37"/>
      <c r="H6" s="37"/>
      <c r="I6" s="37"/>
      <c r="J6" s="37"/>
    </row>
    <row r="9" spans="3:15">
      <c r="C9" s="4" t="s">
        <v>345</v>
      </c>
      <c r="J9" s="10">
        <f>'2022 Apr'!$J$26</f>
        <v>19133.800000000003</v>
      </c>
      <c r="M9" s="6"/>
      <c r="O9" s="6"/>
    </row>
    <row r="11" spans="3:15">
      <c r="C11" t="s">
        <v>13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C14" t="s">
        <v>348</v>
      </c>
      <c r="H14" s="7">
        <f>'[2]ACH_Remittance(3)  July 2022'!$G$2</f>
        <v>412.75</v>
      </c>
      <c r="J14" s="6"/>
    </row>
    <row r="15" spans="3:15">
      <c r="H15" s="7"/>
      <c r="J15" s="6"/>
    </row>
    <row r="16" spans="3:15">
      <c r="H16" s="7"/>
      <c r="I16" s="7"/>
      <c r="J16" s="6"/>
    </row>
    <row r="17" spans="3:15">
      <c r="C17" t="s">
        <v>14</v>
      </c>
      <c r="H17" s="7">
        <v>0</v>
      </c>
      <c r="J17" s="6"/>
    </row>
    <row r="18" spans="3:15">
      <c r="J18" s="6"/>
    </row>
    <row r="19" spans="3:15">
      <c r="H19" s="7"/>
      <c r="J19" s="6"/>
      <c r="K19" t="s">
        <v>105</v>
      </c>
      <c r="M19" s="7"/>
      <c r="O19" s="7"/>
    </row>
    <row r="21" spans="3:15" ht="17.05">
      <c r="C21" s="20" t="s">
        <v>346</v>
      </c>
      <c r="D21" s="4"/>
      <c r="E21" s="4"/>
      <c r="F21" s="4"/>
      <c r="G21" s="4"/>
      <c r="H21" s="4"/>
      <c r="I21" s="9"/>
      <c r="J21" s="5">
        <f>(J9+H14-H17)</f>
        <v>19546.550000000003</v>
      </c>
    </row>
    <row r="23" spans="3:15">
      <c r="C23" s="4"/>
    </row>
    <row r="24" spans="3:15">
      <c r="C24" s="4" t="s">
        <v>18</v>
      </c>
      <c r="J24" s="9">
        <f>'2022  May'!$J$27</f>
        <v>6971.9599999999982</v>
      </c>
    </row>
    <row r="25" spans="3:15">
      <c r="C25" s="4"/>
      <c r="J25" s="9"/>
    </row>
    <row r="26" spans="3:15">
      <c r="D26" t="s">
        <v>349</v>
      </c>
      <c r="H26" s="32">
        <f>'[1]jun-2022'!$G$43</f>
        <v>8.7200000000000006</v>
      </c>
      <c r="N26" t="s">
        <v>105</v>
      </c>
    </row>
    <row r="27" spans="3:15">
      <c r="J27" s="32"/>
    </row>
    <row r="28" spans="3:15">
      <c r="J28" s="7"/>
    </row>
    <row r="29" spans="3:15">
      <c r="C29" s="4" t="s">
        <v>49</v>
      </c>
      <c r="J29" s="24">
        <f>(J24+H26)</f>
        <v>6980.6799999999985</v>
      </c>
      <c r="L29" s="34"/>
      <c r="N29" s="7"/>
      <c r="O29" s="35"/>
    </row>
    <row r="30" spans="3:15">
      <c r="J30" s="7"/>
      <c r="K30" s="7"/>
      <c r="M30" s="7"/>
      <c r="O30" s="36"/>
    </row>
    <row r="31" spans="3:15">
      <c r="J31" s="1"/>
    </row>
    <row r="32" spans="3:15">
      <c r="C32" s="4" t="s">
        <v>131</v>
      </c>
      <c r="D32" s="4"/>
      <c r="E32" s="4"/>
      <c r="F32" s="4"/>
      <c r="G32" s="4"/>
      <c r="I32" s="4"/>
      <c r="J32" s="9">
        <f>'2022 Apr'!$J$42</f>
        <v>14.600000000000007</v>
      </c>
    </row>
    <row r="33" spans="3:10">
      <c r="J33" s="1"/>
    </row>
    <row r="34" spans="3:10">
      <c r="C34" s="20"/>
      <c r="J34" s="7"/>
    </row>
    <row r="35" spans="3:10">
      <c r="C35" s="20" t="s">
        <v>347</v>
      </c>
      <c r="J35" s="24">
        <f>(J32)</f>
        <v>14.600000000000007</v>
      </c>
    </row>
    <row r="36" spans="3:10">
      <c r="C36" s="20"/>
      <c r="J36" s="1"/>
    </row>
    <row r="37" spans="3:10">
      <c r="C37" s="20"/>
      <c r="J37" s="1"/>
    </row>
    <row r="38" spans="3:10">
      <c r="J38" s="1"/>
    </row>
    <row r="39" spans="3:10">
      <c r="C39" t="s">
        <v>20</v>
      </c>
    </row>
    <row r="52" spans="8:8">
      <c r="H52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C4:Q37"/>
  <sheetViews>
    <sheetView zoomScaleNormal="100" workbookViewId="0">
      <selection activeCell="M23" sqref="M23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43</v>
      </c>
      <c r="D6" s="37"/>
      <c r="E6" s="37"/>
      <c r="F6" s="37"/>
      <c r="G6" s="37"/>
      <c r="H6" s="37"/>
      <c r="I6" s="37"/>
      <c r="J6" s="37"/>
    </row>
    <row r="9" spans="3:10">
      <c r="C9" s="4" t="s">
        <v>44</v>
      </c>
      <c r="J9" s="6">
        <v>24623.62</v>
      </c>
    </row>
    <row r="11" spans="3:10">
      <c r="C11" t="s">
        <v>13</v>
      </c>
      <c r="J11" s="6">
        <v>0</v>
      </c>
    </row>
    <row r="13" spans="3:10">
      <c r="C13" t="s">
        <v>14</v>
      </c>
      <c r="J13" s="6">
        <v>0</v>
      </c>
    </row>
    <row r="16" spans="3:10" ht="17.05">
      <c r="C16" s="4" t="s">
        <v>45</v>
      </c>
      <c r="D16" s="4"/>
      <c r="E16" s="4"/>
      <c r="F16" s="4"/>
      <c r="G16" s="4"/>
      <c r="H16" s="4"/>
      <c r="I16" s="9"/>
      <c r="J16" s="5">
        <f>SUM(J9:J13)</f>
        <v>24623.62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46</v>
      </c>
      <c r="J19" s="6">
        <v>0</v>
      </c>
      <c r="P19" s="7"/>
      <c r="Q19" s="7"/>
    </row>
    <row r="20" spans="3:17">
      <c r="C20" s="4"/>
    </row>
    <row r="21" spans="3:17">
      <c r="C21" s="4"/>
      <c r="D21" t="s">
        <v>47</v>
      </c>
    </row>
    <row r="22" spans="3:17">
      <c r="C22" s="4"/>
    </row>
    <row r="23" spans="3:17" ht="17.05">
      <c r="C23" s="4" t="s">
        <v>17</v>
      </c>
      <c r="J23" s="8">
        <f>(J16+J19)</f>
        <v>24623.62</v>
      </c>
    </row>
    <row r="24" spans="3:17">
      <c r="C24" s="4"/>
    </row>
    <row r="25" spans="3:17">
      <c r="C25" s="4"/>
    </row>
    <row r="26" spans="3:17">
      <c r="C26" s="4" t="s">
        <v>18</v>
      </c>
      <c r="J26" s="9">
        <v>6842.49</v>
      </c>
    </row>
    <row r="27" spans="3:17">
      <c r="J27" s="7"/>
    </row>
    <row r="28" spans="3:17">
      <c r="C28" t="s">
        <v>48</v>
      </c>
      <c r="J28" s="7">
        <v>8.5500000000000007</v>
      </c>
    </row>
    <row r="29" spans="3:17">
      <c r="J29" s="7"/>
    </row>
    <row r="30" spans="3:17" ht="17.05">
      <c r="C30" s="4" t="s">
        <v>49</v>
      </c>
      <c r="J30" s="8">
        <f>(J28+J26)</f>
        <v>6851.04</v>
      </c>
    </row>
    <row r="31" spans="3:17">
      <c r="J31" s="7"/>
    </row>
    <row r="32" spans="3:17">
      <c r="J32" s="7"/>
    </row>
    <row r="33" spans="3:10">
      <c r="C33" s="4"/>
      <c r="J33" s="7"/>
    </row>
    <row r="34" spans="3:10">
      <c r="C34" s="4" t="s">
        <v>19</v>
      </c>
      <c r="J34" s="9">
        <v>20.37</v>
      </c>
    </row>
    <row r="35" spans="3:10">
      <c r="C35" s="4"/>
      <c r="J35" s="1"/>
    </row>
    <row r="36" spans="3:10">
      <c r="J36" s="1"/>
    </row>
    <row r="37" spans="3:10">
      <c r="C37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C4:Q42"/>
  <sheetViews>
    <sheetView topLeftCell="C4" zoomScaleNormal="100" workbookViewId="0">
      <selection activeCell="J33" sqref="J33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1.88671875" customWidth="1"/>
    <col min="10" max="10" width="13.6640625" customWidth="1"/>
    <col min="11" max="12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35</v>
      </c>
      <c r="D6" s="37"/>
      <c r="E6" s="37"/>
      <c r="F6" s="37"/>
      <c r="G6" s="37"/>
      <c r="H6" s="37"/>
      <c r="I6" s="37"/>
      <c r="J6" s="37"/>
    </row>
    <row r="9" spans="3:10">
      <c r="C9" s="4" t="s">
        <v>36</v>
      </c>
      <c r="J9" s="6">
        <v>1332.1</v>
      </c>
    </row>
    <row r="11" spans="3:10">
      <c r="C11" t="s">
        <v>13</v>
      </c>
      <c r="J11" s="6">
        <v>23291.52</v>
      </c>
    </row>
    <row r="13" spans="3:10">
      <c r="C13" t="s">
        <v>14</v>
      </c>
    </row>
    <row r="16" spans="3:10" ht="17.05">
      <c r="C16" s="4" t="s">
        <v>37</v>
      </c>
      <c r="D16" s="4"/>
      <c r="E16" s="4"/>
      <c r="F16" s="4"/>
      <c r="G16" s="4"/>
      <c r="H16" s="4"/>
      <c r="I16" s="9"/>
      <c r="J16" s="5">
        <f>SUM(J9:J13)</f>
        <v>24623.62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38</v>
      </c>
      <c r="J19" s="6">
        <v>23834.639999999999</v>
      </c>
      <c r="P19" s="7"/>
      <c r="Q19" s="7"/>
    </row>
    <row r="20" spans="3:17">
      <c r="C20" s="4"/>
    </row>
    <row r="21" spans="3:17">
      <c r="C21" t="s">
        <v>14</v>
      </c>
    </row>
    <row r="22" spans="3:17">
      <c r="C22" s="4"/>
      <c r="D22" t="s">
        <v>39</v>
      </c>
      <c r="I22" s="7">
        <v>513.12</v>
      </c>
    </row>
    <row r="23" spans="3:17">
      <c r="C23" s="4"/>
      <c r="I23" s="11"/>
    </row>
    <row r="24" spans="3:17">
      <c r="C24" s="4"/>
      <c r="D24" t="s">
        <v>40</v>
      </c>
      <c r="I24" s="11">
        <v>23291.52</v>
      </c>
    </row>
    <row r="25" spans="3:17">
      <c r="C25" s="4"/>
      <c r="I25" s="11"/>
    </row>
    <row r="26" spans="3:17">
      <c r="C26" s="4"/>
      <c r="D26" t="s">
        <v>41</v>
      </c>
      <c r="I26" s="6">
        <v>30</v>
      </c>
      <c r="L26" s="7"/>
    </row>
    <row r="27" spans="3:17">
      <c r="C27" s="4"/>
      <c r="I27" s="11"/>
    </row>
    <row r="28" spans="3:17">
      <c r="C28" s="4"/>
      <c r="I28" s="11"/>
    </row>
    <row r="29" spans="3:17">
      <c r="C29" s="4"/>
    </row>
    <row r="30" spans="3:17" ht="17.05">
      <c r="C30" s="4" t="s">
        <v>42</v>
      </c>
      <c r="D30" s="4"/>
      <c r="E30" s="4"/>
      <c r="F30" s="4"/>
      <c r="G30" s="4"/>
      <c r="H30" s="4"/>
      <c r="I30" s="9"/>
      <c r="J30" s="5">
        <f>SUM(J19-I22-I24-I26)</f>
        <v>0</v>
      </c>
    </row>
    <row r="31" spans="3:17">
      <c r="C31" s="4"/>
    </row>
    <row r="32" spans="3:17">
      <c r="C32" s="4"/>
    </row>
    <row r="33" spans="3:10" ht="17.05">
      <c r="C33" s="4" t="s">
        <v>17</v>
      </c>
      <c r="J33" s="8">
        <f>(J16+J30)</f>
        <v>24623.62</v>
      </c>
    </row>
    <row r="34" spans="3:10">
      <c r="C34" s="4"/>
    </row>
    <row r="35" spans="3:10">
      <c r="C35" s="4"/>
    </row>
    <row r="36" spans="3:10">
      <c r="C36" s="4" t="s">
        <v>18</v>
      </c>
      <c r="J36" s="9">
        <v>6842.49</v>
      </c>
    </row>
    <row r="37" spans="3:10">
      <c r="J37" s="7"/>
    </row>
    <row r="38" spans="3:10">
      <c r="C38" s="4"/>
      <c r="J38" s="7"/>
    </row>
    <row r="39" spans="3:10">
      <c r="C39" s="4" t="s">
        <v>19</v>
      </c>
      <c r="J39" s="9">
        <v>20.37</v>
      </c>
    </row>
    <row r="40" spans="3:10">
      <c r="C40" s="4"/>
      <c r="J40" s="1"/>
    </row>
    <row r="41" spans="3:10">
      <c r="J41" s="1"/>
    </row>
    <row r="42" spans="3:10">
      <c r="C42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C4:Q37"/>
  <sheetViews>
    <sheetView topLeftCell="A3" zoomScaleNormal="100" workbookViewId="0">
      <selection activeCell="J25" sqref="J25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0.6640625" customWidth="1"/>
    <col min="10" max="10" width="13.6640625" customWidth="1"/>
    <col min="11" max="11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29</v>
      </c>
      <c r="D6" s="37"/>
      <c r="E6" s="37"/>
      <c r="F6" s="37"/>
      <c r="G6" s="37"/>
      <c r="H6" s="37"/>
      <c r="I6" s="37"/>
      <c r="J6" s="37"/>
    </row>
    <row r="9" spans="3:10">
      <c r="C9" s="4" t="s">
        <v>30</v>
      </c>
      <c r="J9" s="6">
        <v>1332.1</v>
      </c>
    </row>
    <row r="11" spans="3:10">
      <c r="C11" t="s">
        <v>13</v>
      </c>
    </row>
    <row r="13" spans="3:10">
      <c r="C13" t="s">
        <v>14</v>
      </c>
    </row>
    <row r="16" spans="3:10" ht="17.05">
      <c r="C16" s="4" t="s">
        <v>31</v>
      </c>
      <c r="D16" s="4"/>
      <c r="E16" s="4"/>
      <c r="F16" s="4"/>
      <c r="G16" s="4"/>
      <c r="H16" s="4"/>
      <c r="I16" s="9"/>
      <c r="J16" s="5">
        <v>1332.1000000000001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32</v>
      </c>
      <c r="J19" s="6">
        <v>24134.639999999999</v>
      </c>
      <c r="P19" s="7"/>
      <c r="Q19" s="7"/>
    </row>
    <row r="20" spans="3:17">
      <c r="C20" s="4"/>
    </row>
    <row r="21" spans="3:17">
      <c r="C21" t="s">
        <v>14</v>
      </c>
    </row>
    <row r="22" spans="3:17">
      <c r="C22" s="4"/>
      <c r="D22" t="s">
        <v>33</v>
      </c>
      <c r="I22" s="7">
        <v>300</v>
      </c>
    </row>
    <row r="23" spans="3:17">
      <c r="C23" s="4"/>
      <c r="I23" s="11"/>
    </row>
    <row r="24" spans="3:17">
      <c r="C24" s="4"/>
    </row>
    <row r="25" spans="3:17" ht="17.05">
      <c r="C25" s="4" t="s">
        <v>34</v>
      </c>
      <c r="D25" s="4"/>
      <c r="E25" s="4"/>
      <c r="F25" s="4"/>
      <c r="G25" s="4"/>
      <c r="H25" s="4"/>
      <c r="I25" s="9"/>
      <c r="J25" s="5">
        <f>(J19-I22)</f>
        <v>23834.639999999999</v>
      </c>
    </row>
    <row r="26" spans="3:17">
      <c r="C26" s="4"/>
    </row>
    <row r="27" spans="3:17">
      <c r="C27" s="4"/>
    </row>
    <row r="28" spans="3:17" ht="17.05">
      <c r="C28" s="4" t="s">
        <v>17</v>
      </c>
      <c r="J28" s="8">
        <f>(J16+J25)</f>
        <v>25166.739999999998</v>
      </c>
    </row>
    <row r="29" spans="3:17">
      <c r="C29" s="4"/>
    </row>
    <row r="30" spans="3:17">
      <c r="C30" s="4"/>
    </row>
    <row r="31" spans="3:17">
      <c r="C31" s="4" t="s">
        <v>18</v>
      </c>
      <c r="J31" s="9">
        <v>6842.49</v>
      </c>
    </row>
    <row r="32" spans="3:17">
      <c r="J32" s="7"/>
    </row>
    <row r="33" spans="3:10">
      <c r="C33" s="4"/>
      <c r="J33" s="7"/>
    </row>
    <row r="34" spans="3:10">
      <c r="C34" s="4" t="s">
        <v>19</v>
      </c>
      <c r="J34" s="9">
        <v>20.37</v>
      </c>
    </row>
    <row r="35" spans="3:10">
      <c r="C35" s="4"/>
      <c r="J35" s="1"/>
    </row>
    <row r="36" spans="3:10">
      <c r="J36" s="1"/>
    </row>
    <row r="37" spans="3:10">
      <c r="C37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C4:Q39"/>
  <sheetViews>
    <sheetView topLeftCell="B10" zoomScaleNormal="100" workbookViewId="0">
      <selection activeCell="D23" sqref="D23:I23"/>
    </sheetView>
  </sheetViews>
  <sheetFormatPr defaultColWidth="8.88671875" defaultRowHeight="15.05"/>
  <cols>
    <col min="6" max="6" width="11.109375" customWidth="1"/>
    <col min="7" max="7" width="11.109375" bestFit="1" customWidth="1"/>
    <col min="8" max="8" width="11.109375" customWidth="1"/>
    <col min="9" max="9" width="10.6640625" customWidth="1"/>
    <col min="10" max="10" width="13.6640625" customWidth="1"/>
    <col min="11" max="11" width="9.88671875" bestFit="1" customWidth="1"/>
    <col min="13" max="13" width="13.6640625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7" t="s">
        <v>50</v>
      </c>
      <c r="D6" s="37"/>
      <c r="E6" s="37"/>
      <c r="F6" s="37"/>
      <c r="G6" s="37"/>
      <c r="H6" s="37"/>
      <c r="I6" s="37"/>
      <c r="J6" s="37"/>
    </row>
    <row r="9" spans="3:10">
      <c r="C9" s="4" t="s">
        <v>51</v>
      </c>
      <c r="J9" s="6">
        <v>1332.1</v>
      </c>
    </row>
    <row r="11" spans="3:10">
      <c r="C11" t="s">
        <v>13</v>
      </c>
    </row>
    <row r="13" spans="3:10">
      <c r="C13" t="s">
        <v>14</v>
      </c>
    </row>
    <row r="16" spans="3:10" ht="17.05">
      <c r="C16" s="4" t="s">
        <v>52</v>
      </c>
      <c r="D16" s="4"/>
      <c r="E16" s="4"/>
      <c r="F16" s="4"/>
      <c r="G16" s="4"/>
      <c r="H16" s="4"/>
      <c r="I16" s="9"/>
      <c r="J16" s="5">
        <v>1332.1000000000001</v>
      </c>
    </row>
    <row r="17" spans="3:17">
      <c r="P17" s="7"/>
      <c r="Q17" s="7"/>
    </row>
    <row r="18" spans="3:17">
      <c r="P18" s="7"/>
      <c r="Q18" s="7"/>
    </row>
    <row r="19" spans="3:17">
      <c r="C19" s="4" t="s">
        <v>15</v>
      </c>
      <c r="J19" s="6">
        <v>27145.899999999998</v>
      </c>
      <c r="P19" s="7"/>
      <c r="Q19" s="7"/>
    </row>
    <row r="20" spans="3:17">
      <c r="C20" s="4"/>
    </row>
    <row r="21" spans="3:17">
      <c r="C21" t="s">
        <v>14</v>
      </c>
    </row>
    <row r="22" spans="3:17">
      <c r="C22" s="4"/>
      <c r="D22" t="s">
        <v>53</v>
      </c>
      <c r="I22" s="7">
        <v>11.26</v>
      </c>
    </row>
    <row r="23" spans="3:17">
      <c r="C23" s="4"/>
      <c r="D23" t="s">
        <v>54</v>
      </c>
      <c r="I23" s="6">
        <v>1500</v>
      </c>
    </row>
    <row r="24" spans="3:17">
      <c r="C24" s="4"/>
      <c r="D24" t="s">
        <v>55</v>
      </c>
      <c r="I24" s="6">
        <v>1500</v>
      </c>
    </row>
    <row r="25" spans="3:17">
      <c r="C25" s="4"/>
      <c r="I25" s="11"/>
    </row>
    <row r="26" spans="3:17">
      <c r="C26" s="4"/>
    </row>
    <row r="27" spans="3:17" ht="17.05">
      <c r="C27" s="4" t="s">
        <v>16</v>
      </c>
      <c r="D27" s="4"/>
      <c r="E27" s="4"/>
      <c r="F27" s="4"/>
      <c r="G27" s="4"/>
      <c r="H27" s="4"/>
      <c r="I27" s="9"/>
      <c r="J27" s="5">
        <f>(J19-I22-I23-I24)</f>
        <v>24134.639999999999</v>
      </c>
    </row>
    <row r="28" spans="3:17">
      <c r="C28" s="4"/>
    </row>
    <row r="29" spans="3:17">
      <c r="C29" s="4"/>
    </row>
    <row r="30" spans="3:17" ht="17.05">
      <c r="C30" s="4" t="s">
        <v>17</v>
      </c>
      <c r="J30" s="8">
        <f>(J16+J27)</f>
        <v>25466.739999999998</v>
      </c>
    </row>
    <row r="31" spans="3:17">
      <c r="C31" s="4"/>
    </row>
    <row r="32" spans="3:17">
      <c r="C32" s="4"/>
    </row>
    <row r="33" spans="3:10">
      <c r="C33" s="4" t="s">
        <v>18</v>
      </c>
      <c r="J33" s="9">
        <v>6842.49</v>
      </c>
    </row>
    <row r="34" spans="3:10">
      <c r="J34" s="7"/>
    </row>
    <row r="35" spans="3:10">
      <c r="C35" s="4"/>
      <c r="J35" s="7"/>
    </row>
    <row r="36" spans="3:10">
      <c r="C36" s="4" t="s">
        <v>19</v>
      </c>
      <c r="J36" s="9">
        <v>20.37</v>
      </c>
    </row>
    <row r="37" spans="3:10">
      <c r="C37" s="4"/>
      <c r="J37" s="1"/>
    </row>
    <row r="38" spans="3:10">
      <c r="J38" s="1"/>
    </row>
    <row r="39" spans="3:10">
      <c r="C39" t="s">
        <v>20</v>
      </c>
    </row>
  </sheetData>
  <mergeCells count="3">
    <mergeCell ref="C4:J4"/>
    <mergeCell ref="C5:J5"/>
    <mergeCell ref="C6:J6"/>
  </mergeCells>
  <pageMargins left="0.7" right="0.7" top="0.75" bottom="0.75" header="0.3" footer="0.3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ColWidth="8.88671875" defaultRowHeight="15.0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H38"/>
  <sheetViews>
    <sheetView topLeftCell="A13" workbookViewId="0">
      <selection activeCell="B13" sqref="B13:G14"/>
    </sheetView>
  </sheetViews>
  <sheetFormatPr defaultColWidth="8.88671875" defaultRowHeight="15.05"/>
  <cols>
    <col min="8" max="8" width="10.44140625" bestFit="1" customWidth="1"/>
  </cols>
  <sheetData>
    <row r="2" spans="2:8" ht="18.350000000000001">
      <c r="B2" s="37" t="s">
        <v>12</v>
      </c>
      <c r="C2" s="37"/>
      <c r="D2" s="37"/>
      <c r="E2" s="37"/>
      <c r="F2" s="37"/>
      <c r="G2" s="37"/>
      <c r="H2" s="37"/>
    </row>
    <row r="3" spans="2:8" ht="18.350000000000001">
      <c r="B3" s="38" t="s">
        <v>21</v>
      </c>
      <c r="C3" s="38"/>
      <c r="D3" s="38"/>
      <c r="E3" s="38"/>
      <c r="F3" s="38"/>
      <c r="G3" s="38"/>
      <c r="H3" s="38"/>
    </row>
    <row r="4" spans="2:8" ht="18.350000000000001">
      <c r="B4" s="37" t="s">
        <v>22</v>
      </c>
      <c r="C4" s="37"/>
      <c r="D4" s="37"/>
      <c r="E4" s="37"/>
      <c r="F4" s="37"/>
      <c r="G4" s="37"/>
      <c r="H4" s="37"/>
    </row>
    <row r="7" spans="2:8">
      <c r="B7" s="4" t="s">
        <v>23</v>
      </c>
      <c r="H7" s="6">
        <v>296.63</v>
      </c>
    </row>
    <row r="9" spans="2:8">
      <c r="B9" t="s">
        <v>13</v>
      </c>
    </row>
    <row r="10" spans="2:8">
      <c r="C10" t="s">
        <v>24</v>
      </c>
      <c r="G10" s="7">
        <v>1405.5</v>
      </c>
    </row>
    <row r="11" spans="2:8">
      <c r="G11" s="7"/>
    </row>
    <row r="12" spans="2:8">
      <c r="G12" s="7"/>
    </row>
    <row r="13" spans="2:8">
      <c r="B13" t="s">
        <v>14</v>
      </c>
      <c r="G13" s="7"/>
    </row>
    <row r="14" spans="2:8">
      <c r="C14" t="s">
        <v>25</v>
      </c>
      <c r="G14" s="7">
        <v>370.03</v>
      </c>
    </row>
    <row r="15" spans="2:8">
      <c r="G15" s="7"/>
    </row>
    <row r="16" spans="2:8">
      <c r="G16" s="7"/>
    </row>
    <row r="17" spans="2:8" ht="17.05">
      <c r="B17" s="4" t="s">
        <v>26</v>
      </c>
      <c r="C17" s="4"/>
      <c r="D17" s="4"/>
      <c r="E17" s="4"/>
      <c r="F17" s="4"/>
      <c r="G17" s="9"/>
      <c r="H17" s="5">
        <f>(H7+G10-G14)</f>
        <v>1332.1000000000001</v>
      </c>
    </row>
    <row r="18" spans="2:8">
      <c r="G18" s="7"/>
    </row>
    <row r="19" spans="2:8">
      <c r="G19" s="7"/>
    </row>
    <row r="20" spans="2:8">
      <c r="B20" s="4" t="s">
        <v>15</v>
      </c>
      <c r="G20" s="7"/>
      <c r="H20" s="6">
        <v>27249.279999999999</v>
      </c>
    </row>
    <row r="21" spans="2:8">
      <c r="B21" s="4"/>
      <c r="G21" s="7"/>
    </row>
    <row r="22" spans="2:8">
      <c r="B22" t="s">
        <v>14</v>
      </c>
      <c r="G22" s="7"/>
    </row>
    <row r="23" spans="2:8">
      <c r="B23" s="4"/>
      <c r="C23" t="s">
        <v>27</v>
      </c>
      <c r="G23" s="7">
        <v>53.38</v>
      </c>
    </row>
    <row r="24" spans="2:8">
      <c r="B24" s="4"/>
      <c r="C24" t="s">
        <v>28</v>
      </c>
      <c r="G24" s="7">
        <v>50</v>
      </c>
    </row>
    <row r="25" spans="2:8">
      <c r="B25" s="4"/>
      <c r="G25" s="7"/>
    </row>
    <row r="26" spans="2:8" ht="17.05">
      <c r="B26" s="4" t="s">
        <v>16</v>
      </c>
      <c r="C26" s="4"/>
      <c r="D26" s="4"/>
      <c r="E26" s="4"/>
      <c r="F26" s="4"/>
      <c r="G26" s="9"/>
      <c r="H26" s="5">
        <f>(H20-G23-G24)</f>
        <v>27145.899999999998</v>
      </c>
    </row>
    <row r="27" spans="2:8">
      <c r="B27" s="4"/>
      <c r="G27" s="7"/>
    </row>
    <row r="28" spans="2:8">
      <c r="B28" s="4"/>
      <c r="G28" s="7"/>
    </row>
    <row r="29" spans="2:8" ht="17.05">
      <c r="B29" s="4" t="s">
        <v>17</v>
      </c>
      <c r="G29" s="7"/>
      <c r="H29" s="8">
        <f>(H17+H26)</f>
        <v>28477.999999999996</v>
      </c>
    </row>
    <row r="30" spans="2:8">
      <c r="B30" s="4"/>
      <c r="G30" s="7"/>
    </row>
    <row r="31" spans="2:8">
      <c r="B31" s="4"/>
      <c r="G31" s="7"/>
    </row>
    <row r="32" spans="2:8">
      <c r="B32" s="4" t="s">
        <v>18</v>
      </c>
      <c r="G32" s="7"/>
      <c r="H32" s="10">
        <v>6842.49</v>
      </c>
    </row>
    <row r="33" spans="2:8">
      <c r="G33" s="7"/>
      <c r="H33" s="6"/>
    </row>
    <row r="34" spans="2:8">
      <c r="B34" s="4"/>
      <c r="G34" s="7"/>
      <c r="H34" s="6"/>
    </row>
    <row r="35" spans="2:8">
      <c r="B35" s="4" t="s">
        <v>19</v>
      </c>
      <c r="G35" s="7"/>
      <c r="H35" s="10">
        <v>20.37</v>
      </c>
    </row>
    <row r="36" spans="2:8">
      <c r="B36" s="4"/>
    </row>
    <row r="38" spans="2:8">
      <c r="B38" t="s">
        <v>20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2B96D-E4B8-45D9-AFB1-7C5EB5DCD9BC}">
  <sheetPr>
    <pageSetUpPr fitToPage="1"/>
  </sheetPr>
  <dimension ref="C4:O50"/>
  <sheetViews>
    <sheetView topLeftCell="A7" zoomScaleNormal="100" workbookViewId="0">
      <selection activeCell="J27" sqref="J27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340</v>
      </c>
      <c r="D6" s="37"/>
      <c r="E6" s="37"/>
      <c r="F6" s="37"/>
      <c r="G6" s="37"/>
      <c r="H6" s="37"/>
      <c r="I6" s="37"/>
      <c r="J6" s="37"/>
    </row>
    <row r="9" spans="3:15">
      <c r="C9" s="4" t="s">
        <v>341</v>
      </c>
      <c r="J9" s="10">
        <f>'2022 Apr'!$J$26</f>
        <v>19133.800000000003</v>
      </c>
      <c r="M9" s="6"/>
      <c r="O9" s="6"/>
    </row>
    <row r="11" spans="3:15">
      <c r="C11" t="s">
        <v>13</v>
      </c>
      <c r="J11" s="6"/>
    </row>
    <row r="12" spans="3:15" hidden="1">
      <c r="H12" s="7"/>
      <c r="J12" s="6"/>
    </row>
    <row r="13" spans="3:15">
      <c r="H13" s="7">
        <v>0</v>
      </c>
      <c r="J13" s="6"/>
    </row>
    <row r="14" spans="3:15">
      <c r="H14" s="7"/>
      <c r="I14" s="7"/>
      <c r="J14" s="6"/>
    </row>
    <row r="15" spans="3:15">
      <c r="C15" t="s">
        <v>14</v>
      </c>
      <c r="H15" s="7"/>
      <c r="J15" s="6"/>
    </row>
    <row r="16" spans="3:15">
      <c r="H16" s="7">
        <v>0</v>
      </c>
      <c r="J16" s="6"/>
    </row>
    <row r="17" spans="3:15">
      <c r="H17" s="7"/>
      <c r="J17" s="6"/>
      <c r="K17" t="s">
        <v>105</v>
      </c>
      <c r="M17" s="7"/>
      <c r="O17" s="7"/>
    </row>
    <row r="19" spans="3:15" ht="17.05">
      <c r="C19" s="20" t="s">
        <v>342</v>
      </c>
      <c r="D19" s="4"/>
      <c r="E19" s="4"/>
      <c r="F19" s="4"/>
      <c r="G19" s="4"/>
      <c r="H19" s="4"/>
      <c r="I19" s="9"/>
      <c r="J19" s="5">
        <f>(J9+H13-H16)</f>
        <v>19133.800000000003</v>
      </c>
    </row>
    <row r="21" spans="3:15">
      <c r="C21" s="4"/>
    </row>
    <row r="22" spans="3:15">
      <c r="C22" s="4" t="s">
        <v>18</v>
      </c>
      <c r="J22" s="9">
        <f>'2022 Feb'!$J$32</f>
        <v>6963.2599999999984</v>
      </c>
    </row>
    <row r="23" spans="3:15">
      <c r="C23" s="4"/>
      <c r="J23" s="9"/>
    </row>
    <row r="24" spans="3:15">
      <c r="D24" t="s">
        <v>329</v>
      </c>
      <c r="H24" s="32">
        <f>'[3]mar-2022'!$G$43</f>
        <v>8.6999999999999993</v>
      </c>
      <c r="N24" t="s">
        <v>105</v>
      </c>
    </row>
    <row r="25" spans="3:15">
      <c r="J25" s="32"/>
    </row>
    <row r="26" spans="3:15">
      <c r="J26" s="7"/>
    </row>
    <row r="27" spans="3:15">
      <c r="C27" s="4" t="s">
        <v>49</v>
      </c>
      <c r="J27" s="24">
        <f>(J22+H24)</f>
        <v>6971.9599999999982</v>
      </c>
      <c r="N27" s="7"/>
    </row>
    <row r="28" spans="3:15">
      <c r="J28" s="7"/>
    </row>
    <row r="29" spans="3:15">
      <c r="J29" s="1"/>
    </row>
    <row r="30" spans="3:15">
      <c r="C30" s="4" t="s">
        <v>131</v>
      </c>
      <c r="D30" s="4"/>
      <c r="E30" s="4"/>
      <c r="F30" s="4"/>
      <c r="G30" s="4"/>
      <c r="I30" s="4"/>
      <c r="J30" s="9">
        <f>'2022 Apr'!$J$42</f>
        <v>14.600000000000007</v>
      </c>
    </row>
    <row r="31" spans="3:15">
      <c r="J31" s="1"/>
    </row>
    <row r="32" spans="3:15">
      <c r="C32" s="20"/>
      <c r="J32" s="7"/>
    </row>
    <row r="33" spans="3:10">
      <c r="C33" s="20" t="s">
        <v>343</v>
      </c>
      <c r="J33" s="24">
        <f>(J30)</f>
        <v>14.600000000000007</v>
      </c>
    </row>
    <row r="34" spans="3:10">
      <c r="C34" s="20"/>
      <c r="J34" s="1"/>
    </row>
    <row r="35" spans="3:10">
      <c r="C35" s="20"/>
      <c r="J35" s="1"/>
    </row>
    <row r="36" spans="3:10">
      <c r="J36" s="1"/>
    </row>
    <row r="37" spans="3:10">
      <c r="C37" t="s">
        <v>20</v>
      </c>
    </row>
    <row r="50" spans="8:8">
      <c r="H50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C09B-787F-40B2-859C-6868AA672CCD}">
  <sheetPr>
    <pageSetUpPr fitToPage="1"/>
  </sheetPr>
  <dimension ref="C4:O59"/>
  <sheetViews>
    <sheetView topLeftCell="A10" zoomScaleNormal="100" workbookViewId="0">
      <selection activeCell="J26" sqref="J26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  <col min="15" max="15" width="10.44140625" bestFit="1" customWidth="1"/>
  </cols>
  <sheetData>
    <row r="4" spans="3:15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5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5" ht="18.350000000000001">
      <c r="C6" s="39" t="s">
        <v>331</v>
      </c>
      <c r="D6" s="37"/>
      <c r="E6" s="37"/>
      <c r="F6" s="37"/>
      <c r="G6" s="37"/>
      <c r="H6" s="37"/>
      <c r="I6" s="37"/>
      <c r="J6" s="37"/>
    </row>
    <row r="9" spans="3:15">
      <c r="C9" s="4" t="s">
        <v>339</v>
      </c>
      <c r="J9" s="10">
        <f>'2022 Mar'!$J$33</f>
        <v>24386.640000000003</v>
      </c>
      <c r="M9" s="6"/>
      <c r="O9" s="6"/>
    </row>
    <row r="11" spans="3:15">
      <c r="C11" t="s">
        <v>13</v>
      </c>
      <c r="J11" s="6"/>
    </row>
    <row r="12" spans="3:15" hidden="1">
      <c r="H12" s="7"/>
      <c r="J12" s="6"/>
    </row>
    <row r="13" spans="3:15">
      <c r="H13" s="7"/>
      <c r="J13" s="6"/>
    </row>
    <row r="14" spans="3:15">
      <c r="D14" s="23" t="str">
        <f>'[4]Golf 2022 (3)'!$C$18</f>
        <v>Mark Shelton Golf Outing 2022</v>
      </c>
      <c r="H14" s="7">
        <f>'[5]Golf 2022 (2)'!I9</f>
        <v>475</v>
      </c>
      <c r="J14" s="6"/>
    </row>
    <row r="15" spans="3:15">
      <c r="H15" s="7"/>
      <c r="J15" s="6"/>
    </row>
    <row r="16" spans="3:15">
      <c r="H16" s="7"/>
      <c r="I16" s="7"/>
      <c r="J16" s="6"/>
    </row>
    <row r="17" spans="3:15">
      <c r="C17" t="s">
        <v>14</v>
      </c>
      <c r="H17" s="7"/>
      <c r="J17" s="6"/>
    </row>
    <row r="18" spans="3:15">
      <c r="H18" s="7"/>
      <c r="J18" s="6"/>
    </row>
    <row r="19" spans="3:15">
      <c r="D19" t="s">
        <v>336</v>
      </c>
      <c r="H19" s="7">
        <v>400</v>
      </c>
      <c r="J19" s="6"/>
      <c r="K19" t="s">
        <v>105</v>
      </c>
      <c r="M19" s="7"/>
      <c r="O19" s="7"/>
    </row>
    <row r="20" spans="3:15">
      <c r="D20" t="s">
        <v>337</v>
      </c>
      <c r="H20" s="7">
        <v>100</v>
      </c>
      <c r="J20" s="6"/>
      <c r="M20" s="7"/>
      <c r="O20" s="7"/>
    </row>
    <row r="21" spans="3:15">
      <c r="D21" t="s">
        <v>333</v>
      </c>
      <c r="H21" s="7">
        <v>4720</v>
      </c>
      <c r="J21" s="6"/>
      <c r="L21" s="26"/>
    </row>
    <row r="22" spans="3:15">
      <c r="D22" t="s">
        <v>338</v>
      </c>
      <c r="H22" s="7">
        <v>507.84</v>
      </c>
      <c r="J22" s="6"/>
      <c r="L22" s="26"/>
    </row>
    <row r="23" spans="3:15">
      <c r="H23" s="7"/>
      <c r="J23" s="6"/>
      <c r="L23" s="26"/>
    </row>
    <row r="24" spans="3:15">
      <c r="H24" s="7"/>
      <c r="J24" s="6"/>
      <c r="L24" s="26"/>
    </row>
    <row r="26" spans="3:15" ht="17.05">
      <c r="C26" s="20" t="s">
        <v>332</v>
      </c>
      <c r="D26" s="4"/>
      <c r="E26" s="4"/>
      <c r="F26" s="4"/>
      <c r="G26" s="4"/>
      <c r="H26" s="4"/>
      <c r="I26" s="9"/>
      <c r="J26" s="5">
        <f>(J9+H14-H21-H19-H20-H22)</f>
        <v>19133.800000000003</v>
      </c>
    </row>
    <row r="28" spans="3:15">
      <c r="C28" s="4"/>
    </row>
    <row r="29" spans="3:15">
      <c r="C29" s="4" t="s">
        <v>18</v>
      </c>
      <c r="J29" s="9">
        <f>'2022 Feb'!$J$32</f>
        <v>6963.2599999999984</v>
      </c>
    </row>
    <row r="30" spans="3:15">
      <c r="C30" s="4"/>
      <c r="J30" s="9"/>
    </row>
    <row r="31" spans="3:15">
      <c r="D31" t="s">
        <v>329</v>
      </c>
      <c r="J31" s="32">
        <f>'[3]mar-2022'!$G$43</f>
        <v>8.6999999999999993</v>
      </c>
      <c r="N31" t="s">
        <v>105</v>
      </c>
    </row>
    <row r="32" spans="3:15">
      <c r="J32" s="32"/>
    </row>
    <row r="33" spans="3:14">
      <c r="J33" s="7"/>
    </row>
    <row r="34" spans="3:14">
      <c r="C34" s="4" t="s">
        <v>49</v>
      </c>
      <c r="J34" s="24">
        <f>(J29+J31)</f>
        <v>6971.9599999999982</v>
      </c>
      <c r="N34" s="7"/>
    </row>
    <row r="35" spans="3:14">
      <c r="J35" s="7"/>
    </row>
    <row r="36" spans="3:14">
      <c r="J36" s="1"/>
    </row>
    <row r="37" spans="3:14">
      <c r="C37" s="4" t="s">
        <v>131</v>
      </c>
      <c r="D37" s="4"/>
      <c r="E37" s="4"/>
      <c r="F37" s="4"/>
      <c r="G37" s="4"/>
      <c r="I37" s="4"/>
      <c r="J37" s="9">
        <f>'2021 April'!$J$42</f>
        <v>23.260000000000005</v>
      </c>
    </row>
    <row r="38" spans="3:14">
      <c r="J38" s="1"/>
    </row>
    <row r="39" spans="3:14">
      <c r="D39" t="s">
        <v>334</v>
      </c>
      <c r="J39" s="7">
        <v>4.33</v>
      </c>
    </row>
    <row r="40" spans="3:14">
      <c r="C40" s="20"/>
      <c r="D40" t="s">
        <v>334</v>
      </c>
      <c r="J40" s="7">
        <v>4.33</v>
      </c>
    </row>
    <row r="41" spans="3:14">
      <c r="C41" s="20"/>
      <c r="J41" s="7"/>
    </row>
    <row r="42" spans="3:14">
      <c r="C42" s="20" t="s">
        <v>335</v>
      </c>
      <c r="J42" s="24">
        <f>(J37-J39-J40)</f>
        <v>14.600000000000007</v>
      </c>
    </row>
    <row r="43" spans="3:14">
      <c r="C43" s="20"/>
      <c r="J43" s="1"/>
    </row>
    <row r="44" spans="3:14">
      <c r="C44" s="20"/>
      <c r="J44" s="1"/>
    </row>
    <row r="45" spans="3:14">
      <c r="J45" s="1"/>
    </row>
    <row r="46" spans="3:14">
      <c r="C46" t="s">
        <v>20</v>
      </c>
    </row>
    <row r="59" spans="8:8">
      <c r="H59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032D3-AFD5-495D-925F-0E6E600267DF}">
  <sheetPr>
    <pageSetUpPr fitToPage="1"/>
  </sheetPr>
  <dimension ref="C4:O65"/>
  <sheetViews>
    <sheetView topLeftCell="A4" zoomScaleNormal="100" workbookViewId="0">
      <selection activeCell="J33" sqref="J33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  <col min="13" max="13" width="10.44140625" bestFit="1" customWidth="1"/>
  </cols>
  <sheetData>
    <row r="4" spans="3:13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3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3" ht="18.350000000000001">
      <c r="C6" s="39" t="s">
        <v>325</v>
      </c>
      <c r="D6" s="37"/>
      <c r="E6" s="37"/>
      <c r="F6" s="37"/>
      <c r="G6" s="37"/>
      <c r="H6" s="37"/>
      <c r="I6" s="37"/>
      <c r="J6" s="37"/>
    </row>
    <row r="9" spans="3:13">
      <c r="C9" s="4" t="s">
        <v>326</v>
      </c>
      <c r="J9" s="10">
        <f>'2022 Feb'!$J$23</f>
        <v>18195.640000000003</v>
      </c>
      <c r="M9" s="6"/>
    </row>
    <row r="11" spans="3:13">
      <c r="C11" t="s">
        <v>13</v>
      </c>
      <c r="J11" s="6"/>
    </row>
    <row r="12" spans="3:13" hidden="1">
      <c r="H12" s="7"/>
      <c r="J12" s="6"/>
    </row>
    <row r="13" spans="3:13">
      <c r="H13" s="7"/>
      <c r="J13" s="6"/>
    </row>
    <row r="14" spans="3:13">
      <c r="D14" s="23" t="str">
        <f>'[5]Golf 2022 (3)'!C9</f>
        <v>West, Barry  Golf Outing 2022</v>
      </c>
      <c r="H14" s="7">
        <f>'[5]Golf 2022 (2)'!I9</f>
        <v>475</v>
      </c>
      <c r="J14" s="6"/>
    </row>
    <row r="15" spans="3:13">
      <c r="D15" s="23" t="str">
        <f>'[5]Golf 2022 (3)'!C10</f>
        <v>Aaron D Huber Golf Outing 2022</v>
      </c>
      <c r="H15" s="7">
        <f>'[5]Golf 2022 (2)'!I10</f>
        <v>475</v>
      </c>
      <c r="J15" s="6"/>
    </row>
    <row r="16" spans="3:13">
      <c r="D16" s="23" t="str">
        <f>'[5]Golf 2022 (3)'!C11</f>
        <v>Davco Golf Outing 2022</v>
      </c>
      <c r="H16" s="7">
        <f>'[5]Golf 2022 (2)'!I11</f>
        <v>475</v>
      </c>
      <c r="J16" s="6"/>
    </row>
    <row r="17" spans="3:15">
      <c r="D17" s="23" t="str">
        <f>'[5]Golf 2022 (3)'!C12</f>
        <v>MMI Golf Outing 2022</v>
      </c>
      <c r="H17" s="7">
        <f>'[5]Golf 2022 (2)'!I12</f>
        <v>475</v>
      </c>
      <c r="J17" s="6"/>
    </row>
    <row r="18" spans="3:15">
      <c r="D18" s="23" t="str">
        <f>'[5]Golf 2022 (3)'!C13</f>
        <v>Link Manufacturing Golf Outing 2022</v>
      </c>
      <c r="H18" s="7">
        <f>'[5]Golf 2022 (2)'!I13</f>
        <v>475</v>
      </c>
      <c r="J18" s="6"/>
    </row>
    <row r="19" spans="3:15">
      <c r="D19" s="23" t="str">
        <f>'[5]Golf 2022 (3)'!C14</f>
        <v>TTI Inc. Golf Outing 2022</v>
      </c>
      <c r="H19" s="7">
        <f>'[5]Golf 2022 (2)'!I14</f>
        <v>475</v>
      </c>
      <c r="J19" s="6"/>
    </row>
    <row r="20" spans="3:15">
      <c r="D20" s="23" t="str">
        <f>'[5]Golf 2022 (3)'!C15</f>
        <v>Dan Hambey Golf Outing 2022</v>
      </c>
      <c r="H20" s="7">
        <f>'[5]Golf 2022 (2)'!I15</f>
        <v>475</v>
      </c>
      <c r="J20" s="6"/>
    </row>
    <row r="21" spans="3:15">
      <c r="D21" s="23" t="str">
        <f>'[5]Golf 2022 (3)'!C16</f>
        <v>Kevin Sherrill Golf Outing 2022</v>
      </c>
      <c r="H21" s="7">
        <f>'[5]Golf 2022 (2)'!I16</f>
        <v>1425</v>
      </c>
      <c r="J21" s="6"/>
    </row>
    <row r="22" spans="3:15">
      <c r="D22" s="23" t="str">
        <f>'[5]Golf 2022 (3)'!C17</f>
        <v>David Lee Golf Outing 2022</v>
      </c>
      <c r="H22" s="7">
        <f>'[5]Golf 2022 (2)'!I17</f>
        <v>70</v>
      </c>
      <c r="J22" s="6"/>
    </row>
    <row r="23" spans="3:15">
      <c r="D23" t="s">
        <v>328</v>
      </c>
      <c r="H23" s="7">
        <f>'[6]ACH_Remittance(2)'!$G$2</f>
        <v>1371</v>
      </c>
      <c r="J23" s="6"/>
    </row>
    <row r="24" spans="3:15">
      <c r="H24" s="7"/>
      <c r="J24" s="6"/>
    </row>
    <row r="25" spans="3:15">
      <c r="H25" s="7"/>
      <c r="J25" s="6"/>
    </row>
    <row r="26" spans="3:15">
      <c r="H26" s="7"/>
      <c r="I26" s="7"/>
      <c r="J26" s="6"/>
    </row>
    <row r="27" spans="3:15">
      <c r="C27" t="s">
        <v>14</v>
      </c>
      <c r="H27" s="7"/>
      <c r="J27" s="6"/>
    </row>
    <row r="28" spans="3:15">
      <c r="H28" s="7"/>
      <c r="J28" s="6"/>
      <c r="K28" t="s">
        <v>105</v>
      </c>
      <c r="O28" s="7"/>
    </row>
    <row r="29" spans="3:15">
      <c r="H29" s="7">
        <v>0</v>
      </c>
      <c r="J29" s="6"/>
      <c r="L29" s="26"/>
    </row>
    <row r="30" spans="3:15">
      <c r="H30" s="7"/>
      <c r="J30" s="6"/>
      <c r="L30" s="26"/>
    </row>
    <row r="31" spans="3:15">
      <c r="H31" s="7"/>
      <c r="J31" s="6"/>
      <c r="L31" s="26"/>
    </row>
    <row r="33" spans="3:14" ht="17.05">
      <c r="C33" s="20" t="s">
        <v>327</v>
      </c>
      <c r="D33" s="4"/>
      <c r="E33" s="4"/>
      <c r="F33" s="4"/>
      <c r="G33" s="4"/>
      <c r="H33" s="4"/>
      <c r="I33" s="9"/>
      <c r="J33" s="5">
        <f>(J9+H14+H15+H16+H17+H18+H19+H20+H21+H22+H23+H29)</f>
        <v>24386.640000000003</v>
      </c>
    </row>
    <row r="35" spans="3:14">
      <c r="C35" s="4"/>
    </row>
    <row r="36" spans="3:14">
      <c r="C36" s="4" t="s">
        <v>18</v>
      </c>
      <c r="J36" s="9">
        <f>'2022 Feb'!$J$32</f>
        <v>6963.2599999999984</v>
      </c>
    </row>
    <row r="37" spans="3:14">
      <c r="C37" s="4"/>
      <c r="J37" s="9"/>
    </row>
    <row r="38" spans="3:14">
      <c r="C38" t="s">
        <v>329</v>
      </c>
      <c r="J38" s="32">
        <f>'[3]mar-2022'!$G$43</f>
        <v>8.6999999999999993</v>
      </c>
      <c r="N38" t="s">
        <v>105</v>
      </c>
    </row>
    <row r="39" spans="3:14">
      <c r="J39" s="32"/>
    </row>
    <row r="40" spans="3:14">
      <c r="J40" s="7"/>
    </row>
    <row r="41" spans="3:14">
      <c r="C41" s="4" t="s">
        <v>49</v>
      </c>
      <c r="J41" s="24">
        <f>(J36+J38)</f>
        <v>6971.9599999999982</v>
      </c>
      <c r="N41" s="7"/>
    </row>
    <row r="42" spans="3:14">
      <c r="J42" s="7"/>
    </row>
    <row r="43" spans="3:14">
      <c r="J43" s="1"/>
    </row>
    <row r="44" spans="3:14">
      <c r="C44" s="4" t="s">
        <v>131</v>
      </c>
      <c r="D44" s="4"/>
      <c r="E44" s="4"/>
      <c r="F44" s="4"/>
      <c r="G44" s="4"/>
      <c r="I44" s="4"/>
      <c r="J44" s="9">
        <f>'2021 April'!$J$42</f>
        <v>23.260000000000005</v>
      </c>
    </row>
    <row r="45" spans="3:14">
      <c r="J45" s="1"/>
    </row>
    <row r="46" spans="3:14">
      <c r="J46" s="1"/>
    </row>
    <row r="47" spans="3:14">
      <c r="C47" s="20" t="s">
        <v>330</v>
      </c>
      <c r="J47" s="9">
        <f>'2021 April'!$J$42</f>
        <v>23.260000000000005</v>
      </c>
    </row>
    <row r="48" spans="3:14">
      <c r="C48" s="20"/>
      <c r="J48" s="1"/>
    </row>
    <row r="49" spans="3:10">
      <c r="C49" s="20"/>
      <c r="J49" s="1"/>
    </row>
    <row r="50" spans="3:10">
      <c r="C50" s="20"/>
      <c r="J50" s="1"/>
    </row>
    <row r="51" spans="3:10">
      <c r="J51" s="1"/>
    </row>
    <row r="52" spans="3:10">
      <c r="C52" t="s">
        <v>20</v>
      </c>
    </row>
    <row r="65" spans="8:8">
      <c r="H65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7B3E-B117-4ACE-A1A1-081FF3B958A4}">
  <sheetPr>
    <pageSetUpPr fitToPage="1"/>
  </sheetPr>
  <dimension ref="C4:N56"/>
  <sheetViews>
    <sheetView topLeftCell="A4" zoomScaleNormal="100" workbookViewId="0">
      <selection activeCell="J32" sqref="J32"/>
    </sheetView>
  </sheetViews>
  <sheetFormatPr defaultColWidth="8.88671875" defaultRowHeight="15.05"/>
  <cols>
    <col min="1" max="1" width="9" customWidth="1"/>
    <col min="6" max="6" width="11.109375" customWidth="1"/>
    <col min="7" max="7" width="30.21875" customWidth="1"/>
    <col min="8" max="8" width="11.109375" customWidth="1"/>
    <col min="9" max="9" width="6.109375" customWidth="1"/>
    <col min="10" max="10" width="13.6640625" customWidth="1"/>
    <col min="11" max="12" width="9.88671875" bestFit="1" customWidth="1"/>
  </cols>
  <sheetData>
    <row r="4" spans="3:10" ht="18.350000000000001">
      <c r="C4" s="37" t="s">
        <v>12</v>
      </c>
      <c r="D4" s="37"/>
      <c r="E4" s="37"/>
      <c r="F4" s="37"/>
      <c r="G4" s="37"/>
      <c r="H4" s="37"/>
      <c r="I4" s="37"/>
      <c r="J4" s="37"/>
    </row>
    <row r="5" spans="3:10" ht="18.350000000000001">
      <c r="C5" s="38" t="s">
        <v>21</v>
      </c>
      <c r="D5" s="38"/>
      <c r="E5" s="38"/>
      <c r="F5" s="38"/>
      <c r="G5" s="38"/>
      <c r="H5" s="38"/>
      <c r="I5" s="38"/>
      <c r="J5" s="38"/>
    </row>
    <row r="6" spans="3:10" ht="18.350000000000001">
      <c r="C6" s="39" t="s">
        <v>318</v>
      </c>
      <c r="D6" s="37"/>
      <c r="E6" s="37"/>
      <c r="F6" s="37"/>
      <c r="G6" s="37"/>
      <c r="H6" s="37"/>
      <c r="I6" s="37"/>
      <c r="J6" s="37"/>
    </row>
    <row r="9" spans="3:10">
      <c r="C9" s="4" t="s">
        <v>319</v>
      </c>
      <c r="J9" s="10">
        <f>'2021 Nov'!$J$24</f>
        <v>16770.640000000003</v>
      </c>
    </row>
    <row r="11" spans="3:10">
      <c r="C11" t="s">
        <v>13</v>
      </c>
      <c r="J11" s="6"/>
    </row>
    <row r="12" spans="3:10" hidden="1">
      <c r="H12" s="7"/>
      <c r="J12" s="6"/>
    </row>
    <row r="13" spans="3:10">
      <c r="H13" s="7"/>
      <c r="J13" s="6"/>
    </row>
    <row r="14" spans="3:10">
      <c r="D14" s="23" t="s">
        <v>321</v>
      </c>
      <c r="H14" s="7">
        <v>1425</v>
      </c>
      <c r="J14" s="6"/>
    </row>
    <row r="15" spans="3:10">
      <c r="H15" s="7"/>
      <c r="J15" s="6"/>
    </row>
    <row r="16" spans="3:10">
      <c r="H16" s="7"/>
      <c r="I16" s="7"/>
      <c r="J16" s="6"/>
    </row>
    <row r="17" spans="3:14">
      <c r="C17" t="s">
        <v>14</v>
      </c>
      <c r="H17" s="7"/>
      <c r="J17" s="6"/>
    </row>
    <row r="18" spans="3:14">
      <c r="H18" s="7"/>
      <c r="J18" s="6"/>
      <c r="K18" t="s">
        <v>105</v>
      </c>
    </row>
    <row r="19" spans="3:14">
      <c r="H19" s="7">
        <v>0</v>
      </c>
      <c r="J19" s="6"/>
      <c r="L19" s="26"/>
    </row>
    <row r="20" spans="3:14">
      <c r="H20" s="7"/>
      <c r="J20" s="6"/>
      <c r="L20" s="26"/>
    </row>
    <row r="21" spans="3:14">
      <c r="H21" s="7"/>
      <c r="J21" s="6"/>
      <c r="L21" s="26"/>
    </row>
    <row r="23" spans="3:14" ht="17.05">
      <c r="C23" s="20" t="s">
        <v>320</v>
      </c>
      <c r="D23" s="4"/>
      <c r="E23" s="4"/>
      <c r="F23" s="4"/>
      <c r="G23" s="4"/>
      <c r="H23" s="4"/>
      <c r="I23" s="9"/>
      <c r="J23" s="5">
        <f>(J9+H14+H19)</f>
        <v>18195.640000000003</v>
      </c>
    </row>
    <row r="25" spans="3:14">
      <c r="C25" s="4"/>
    </row>
    <row r="26" spans="3:14">
      <c r="C26" s="4" t="s">
        <v>18</v>
      </c>
      <c r="J26" s="9">
        <f>'2022 Jan'!$J$30</f>
        <v>6945.869999999999</v>
      </c>
    </row>
    <row r="27" spans="3:14">
      <c r="C27" s="4"/>
      <c r="J27" s="9"/>
    </row>
    <row r="28" spans="3:14">
      <c r="C28" t="s">
        <v>322</v>
      </c>
      <c r="J28" s="32">
        <v>8.69</v>
      </c>
      <c r="N28" t="s">
        <v>105</v>
      </c>
    </row>
    <row r="29" spans="3:14">
      <c r="J29" s="32"/>
    </row>
    <row r="30" spans="3:14">
      <c r="C30" t="s">
        <v>323</v>
      </c>
      <c r="J30" s="33">
        <v>8.6999999999999993</v>
      </c>
    </row>
    <row r="31" spans="3:14">
      <c r="J31" s="7"/>
    </row>
    <row r="32" spans="3:14">
      <c r="C32" s="4" t="s">
        <v>49</v>
      </c>
      <c r="J32" s="24">
        <f>(J26+J28+J30)</f>
        <v>6963.2599999999984</v>
      </c>
      <c r="N32" s="7"/>
    </row>
    <row r="33" spans="3:10">
      <c r="J33" s="7"/>
    </row>
    <row r="34" spans="3:10">
      <c r="J34" s="1"/>
    </row>
    <row r="35" spans="3:10">
      <c r="C35" s="4" t="s">
        <v>131</v>
      </c>
      <c r="D35" s="4"/>
      <c r="E35" s="4"/>
      <c r="F35" s="4"/>
      <c r="G35" s="4"/>
      <c r="I35" s="4"/>
      <c r="J35" s="9">
        <f>'2021 April'!$J$42</f>
        <v>23.260000000000005</v>
      </c>
    </row>
    <row r="36" spans="3:10">
      <c r="J36" s="1"/>
    </row>
    <row r="37" spans="3:10">
      <c r="J37" s="1"/>
    </row>
    <row r="38" spans="3:10">
      <c r="C38" s="20" t="s">
        <v>324</v>
      </c>
      <c r="J38" s="9">
        <f>'2021 April'!$J$42</f>
        <v>23.260000000000005</v>
      </c>
    </row>
    <row r="39" spans="3:10">
      <c r="C39" s="20"/>
      <c r="J39" s="1"/>
    </row>
    <row r="40" spans="3:10">
      <c r="C40" s="20"/>
      <c r="J40" s="1"/>
    </row>
    <row r="41" spans="3:10">
      <c r="C41" s="20"/>
      <c r="J41" s="1"/>
    </row>
    <row r="42" spans="3:10">
      <c r="J42" s="1"/>
    </row>
    <row r="43" spans="3:10">
      <c r="C43" t="s">
        <v>20</v>
      </c>
    </row>
    <row r="56" spans="8:8">
      <c r="H56" s="7"/>
    </row>
  </sheetData>
  <mergeCells count="3">
    <mergeCell ref="C4:J4"/>
    <mergeCell ref="C5:J5"/>
    <mergeCell ref="C6:J6"/>
  </mergeCells>
  <pageMargins left="0.7" right="0.7" top="0.75" bottom="0.75" header="0.3" footer="0.3"/>
  <pageSetup scale="9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1 b n U A E k K n e n A A A A + A A A A B I A H A B D b 2 5 m a W c v U G F j a 2 F n Z S 5 4 b W w g o h g A K K A U A A A A A A A A A A A A A A A A A A A A A A A A A A A A h Y / R C o I w G I V f R X b v N l f C k N 9 5 0 W 1 C I E W 3 Y y 4 d 6 Q w 3 0 3 f r o k f q F R L K 6 q 7 L c / g O f O d x u 0 M 2 t U 1 w 1 b 0 z n U 1 R h C k K t F V d a W y V o s G f Q o 4 y A T u p z r L S w Q x b l 0 z O p K j 2 / p I Q M o 4 j H l e 4 6 y v C K I 3 I M d 8 W q t a t D I 1 1 X l q l 0 W d V / l 8 h A Y e X j G C Y M x z z m G O 2 j o A s N e T G f h E 2 G 2 M K 5 K e E z d D 4 o d d C 2 3 B f A F k i k P c L 8 Q R Q S w M E F A A C A A g A Z 1 b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d W 5 1 A o i k e 4 D g A A A B E A A A A T A B w A R m 9 y b X V s Y X M v U 2 V j d G l v b j E u b S C i G A A o o B Q A A A A A A A A A A A A A A A A A A A A A A A A A A A A r T k 0 u y c z P U w i G 0 I b W A F B L A Q I t A B Q A A g A I A G d W 5 1 A B J C p 3 p w A A A P g A A A A S A A A A A A A A A A A A A A A A A A A A A A B D b 2 5 m a W c v U G F j a 2 F n Z S 5 4 b W x Q S w E C L Q A U A A I A C A B n V u d Q D 8 r p q 6 Q A A A D p A A A A E w A A A A A A A A A A A A A A A A D z A A A A W 0 N v b n R l b n R f V H l w Z X N d L n h t b F B L A Q I t A B Q A A g A I A G d W 5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4 b e C p 0 g p E T b Q z B X 8 2 0 U z Q A A A A A A I A A A A A A B B m A A A A A Q A A I A A A A D D J E V W O 9 3 x 8 h d P e A Q + Y P r P 4 f g w u w + M Q V m U b F v f s O d l s A A A A A A 6 A A A A A A g A A I A A A A O w I z a O a 6 x b G P 1 N T d / S B Q / b t 9 s s w e O y a p M f 0 Z S t u o v 9 2 U A A A A K g i 0 S L x H m B r e y l 9 w k v C X t c O 3 n 7 / r M L U U c j G C 1 a A U l a G m m 9 8 j 9 z 5 g U M N O f K R A j z M E V c N y u z V G 1 Z / h g q O W V J O w x C S V c 7 + v Q Y A 6 W N J o f c M x d O x Q A A A A N Y 7 S x x G 7 0 1 g c t O v 9 C T 8 5 Z 1 7 4 V z v A M j w c X / Y G C b D l 7 3 / 7 l Y 9 0 x 2 / A m K 9 n r x U Z 6 B 9 3 x x I d F k 6 T P e P y 2 0 L p e s L D 6 o = < / D a t a M a s h u p > 
</file>

<file path=customXml/itemProps1.xml><?xml version="1.0" encoding="utf-8"?>
<ds:datastoreItem xmlns:ds="http://schemas.openxmlformats.org/officeDocument/2006/customXml" ds:itemID="{07EA69E9-C28A-4829-9546-D32D6C4969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51</vt:i4>
      </vt:variant>
    </vt:vector>
  </HeadingPairs>
  <TitlesOfParts>
    <vt:vector size="106" baseType="lpstr">
      <vt:lpstr>Summary and Chart</vt:lpstr>
      <vt:lpstr>2022 Sept</vt:lpstr>
      <vt:lpstr>2022 Aug</vt:lpstr>
      <vt:lpstr>2022 July</vt:lpstr>
      <vt:lpstr>2022 June </vt:lpstr>
      <vt:lpstr>2022  May</vt:lpstr>
      <vt:lpstr>2022 Apr</vt:lpstr>
      <vt:lpstr>2022 Mar</vt:lpstr>
      <vt:lpstr>2022 Feb</vt:lpstr>
      <vt:lpstr>2022 Jan</vt:lpstr>
      <vt:lpstr>2021 Dec</vt:lpstr>
      <vt:lpstr>2021 Nov</vt:lpstr>
      <vt:lpstr>2021 Oct</vt:lpstr>
      <vt:lpstr>2021 Sept</vt:lpstr>
      <vt:lpstr>2021 Aug</vt:lpstr>
      <vt:lpstr>2021 July</vt:lpstr>
      <vt:lpstr>2021 June</vt:lpstr>
      <vt:lpstr>2021 May</vt:lpstr>
      <vt:lpstr>2021 April</vt:lpstr>
      <vt:lpstr>2021 March</vt:lpstr>
      <vt:lpstr>2021 Feb</vt:lpstr>
      <vt:lpstr>2021 Jan</vt:lpstr>
      <vt:lpstr>Sheet2</vt:lpstr>
      <vt:lpstr>2020 Dec</vt:lpstr>
      <vt:lpstr>2020 Nov </vt:lpstr>
      <vt:lpstr>2020 Oct </vt:lpstr>
      <vt:lpstr>2020 Sept</vt:lpstr>
      <vt:lpstr>2020 Aug</vt:lpstr>
      <vt:lpstr>2020 July</vt:lpstr>
      <vt:lpstr>2020 June</vt:lpstr>
      <vt:lpstr>2020 May</vt:lpstr>
      <vt:lpstr>2020 April </vt:lpstr>
      <vt:lpstr>2020 March </vt:lpstr>
      <vt:lpstr>2020 Feb</vt:lpstr>
      <vt:lpstr>2020 Jan</vt:lpstr>
      <vt:lpstr>2019 Dec</vt:lpstr>
      <vt:lpstr>2019 Nov </vt:lpstr>
      <vt:lpstr>2019 Oct </vt:lpstr>
      <vt:lpstr>2019 Sept</vt:lpstr>
      <vt:lpstr>2019 Aug</vt:lpstr>
      <vt:lpstr>2019 July</vt:lpstr>
      <vt:lpstr>2019 June</vt:lpstr>
      <vt:lpstr>2019 May </vt:lpstr>
      <vt:lpstr>2019 April</vt:lpstr>
      <vt:lpstr>2019 March</vt:lpstr>
      <vt:lpstr>Feb 2019 </vt:lpstr>
      <vt:lpstr>Jan 2019</vt:lpstr>
      <vt:lpstr>Dec 2018</vt:lpstr>
      <vt:lpstr>Nov 2018</vt:lpstr>
      <vt:lpstr>Oct 2018 </vt:lpstr>
      <vt:lpstr>Sept 2018 </vt:lpstr>
      <vt:lpstr>August 2018 </vt:lpstr>
      <vt:lpstr>July 2018</vt:lpstr>
      <vt:lpstr>Sheet3</vt:lpstr>
      <vt:lpstr>June 2018</vt:lpstr>
      <vt:lpstr>'2019 April'!Print_Area</vt:lpstr>
      <vt:lpstr>'2019 Aug'!Print_Area</vt:lpstr>
      <vt:lpstr>'2019 Dec'!Print_Area</vt:lpstr>
      <vt:lpstr>'2019 July'!Print_Area</vt:lpstr>
      <vt:lpstr>'2019 June'!Print_Area</vt:lpstr>
      <vt:lpstr>'2019 March'!Print_Area</vt:lpstr>
      <vt:lpstr>'2019 May '!Print_Area</vt:lpstr>
      <vt:lpstr>'2019 Nov '!Print_Area</vt:lpstr>
      <vt:lpstr>'2019 Oct '!Print_Area</vt:lpstr>
      <vt:lpstr>'2019 Sept'!Print_Area</vt:lpstr>
      <vt:lpstr>'2020 April '!Print_Area</vt:lpstr>
      <vt:lpstr>'2020 Aug'!Print_Area</vt:lpstr>
      <vt:lpstr>'2020 Dec'!Print_Area</vt:lpstr>
      <vt:lpstr>'2020 Feb'!Print_Area</vt:lpstr>
      <vt:lpstr>'2020 Jan'!Print_Area</vt:lpstr>
      <vt:lpstr>'2020 July'!Print_Area</vt:lpstr>
      <vt:lpstr>'2020 June'!Print_Area</vt:lpstr>
      <vt:lpstr>'2020 March '!Print_Area</vt:lpstr>
      <vt:lpstr>'2020 May'!Print_Area</vt:lpstr>
      <vt:lpstr>'2020 Nov '!Print_Area</vt:lpstr>
      <vt:lpstr>'2020 Oct '!Print_Area</vt:lpstr>
      <vt:lpstr>'2020 Sept'!Print_Area</vt:lpstr>
      <vt:lpstr>'2021 April'!Print_Area</vt:lpstr>
      <vt:lpstr>'2021 Aug'!Print_Area</vt:lpstr>
      <vt:lpstr>'2021 Dec'!Print_Area</vt:lpstr>
      <vt:lpstr>'2021 Feb'!Print_Area</vt:lpstr>
      <vt:lpstr>'2021 Jan'!Print_Area</vt:lpstr>
      <vt:lpstr>'2021 July'!Print_Area</vt:lpstr>
      <vt:lpstr>'2021 June'!Print_Area</vt:lpstr>
      <vt:lpstr>'2021 March'!Print_Area</vt:lpstr>
      <vt:lpstr>'2021 May'!Print_Area</vt:lpstr>
      <vt:lpstr>'2021 Nov'!Print_Area</vt:lpstr>
      <vt:lpstr>'2021 Oct'!Print_Area</vt:lpstr>
      <vt:lpstr>'2021 Sept'!Print_Area</vt:lpstr>
      <vt:lpstr>'2022  May'!Print_Area</vt:lpstr>
      <vt:lpstr>'2022 Apr'!Print_Area</vt:lpstr>
      <vt:lpstr>'2022 Aug'!Print_Area</vt:lpstr>
      <vt:lpstr>'2022 Feb'!Print_Area</vt:lpstr>
      <vt:lpstr>'2022 Jan'!Print_Area</vt:lpstr>
      <vt:lpstr>'2022 July'!Print_Area</vt:lpstr>
      <vt:lpstr>'2022 June '!Print_Area</vt:lpstr>
      <vt:lpstr>'2022 Mar'!Print_Area</vt:lpstr>
      <vt:lpstr>'2022 Sept'!Print_Area</vt:lpstr>
      <vt:lpstr>'August 2018 '!Print_Area</vt:lpstr>
      <vt:lpstr>'Dec 2018'!Print_Area</vt:lpstr>
      <vt:lpstr>'Feb 2019 '!Print_Area</vt:lpstr>
      <vt:lpstr>'Jan 2019'!Print_Area</vt:lpstr>
      <vt:lpstr>'July 2018'!Print_Area</vt:lpstr>
      <vt:lpstr>'Nov 2018'!Print_Area</vt:lpstr>
      <vt:lpstr>'Oct 2018 '!Print_Area</vt:lpstr>
      <vt:lpstr>'Sept 2018 '!Print_Area</vt:lpstr>
    </vt:vector>
  </TitlesOfParts>
  <Company>JTEKT North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Driscoll, John</dc:creator>
  <cp:lastModifiedBy>Martin</cp:lastModifiedBy>
  <cp:lastPrinted>2022-07-06T19:14:00Z</cp:lastPrinted>
  <dcterms:created xsi:type="dcterms:W3CDTF">2018-06-27T15:55:52Z</dcterms:created>
  <dcterms:modified xsi:type="dcterms:W3CDTF">2022-10-12T02:37:21Z</dcterms:modified>
</cp:coreProperties>
</file>